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48" firstSheet="2" activeTab="7"/>
  </bookViews>
  <sheets>
    <sheet name="Orientações" sheetId="1" state="hidden" r:id="rId1"/>
    <sheet name="Servente" sheetId="2" state="hidden" r:id="rId2"/>
    <sheet name="Tradutor-Intérprete" sheetId="14" r:id="rId3"/>
    <sheet name="Cuidador" sheetId="15" r:id="rId4"/>
    <sheet name="Alfabetizador EJA" sheetId="17" r:id="rId5"/>
    <sheet name="Psicopedagogo" sheetId="18" r:id="rId6"/>
    <sheet name="Uniformes" sheetId="12" r:id="rId7"/>
    <sheet name="RESUMO" sheetId="13" r:id="rId8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<sst xmlns="http://schemas.openxmlformats.org/spreadsheetml/2006/main" count="1372" uniqueCount="274">
  <si>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</si>
  <si>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</si>
  <si>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</si>
  <si>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</si>
  <si>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</si>
  <si>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</si>
  <si>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</si>
  <si>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</si>
  <si>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</si>
  <si>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</si>
  <si>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</si>
  <si>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</si>
  <si>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</si>
  <si>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</si>
  <si>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</si>
  <si>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</si>
  <si>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</si>
  <si>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</si>
  <si>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</si>
  <si>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</si>
  <si>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</si>
  <si>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</si>
  <si>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</si>
  <si>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</si>
  <si>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</si>
  <si>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</si>
  <si>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</si>
  <si>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</si>
  <si>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</si>
  <si>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</si>
  <si>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</si>
  <si>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</si>
  <si>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</si>
  <si>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</si>
  <si>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</si>
  <si>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</si>
  <si>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</si>
  <si>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</si>
  <si>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</si>
  <si>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</si>
  <si>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</si>
  <si>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</si>
  <si>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</si>
  <si>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</si>
  <si>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</si>
  <si>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</si>
  <si>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</si>
  <si>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</si>
  <si>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</si>
  <si>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</si>
  <si>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</si>
  <si>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</si>
  <si>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</si>
  <si>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</si>
  <si>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</si>
  <si>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</si>
  <si>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</si>
  <si>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</si>
  <si>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</si>
  <si>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</si>
  <si>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</si>
  <si>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</si>
  <si>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</si>
  <si>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</si>
  <si>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</si>
  <si>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</si>
  <si>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</si>
  <si>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</si>
  <si>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</si>
  <si>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</si>
  <si>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</si>
  <si>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</si>
  <si>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</si>
  <si>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</si>
  <si>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</si>
  <si>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</si>
  <si>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</si>
  <si>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</si>
  <si>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</si>
  <si>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</si>
  <si>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</si>
  <si>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</si>
  <si>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</si>
  <si>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</si>
  <si>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</si>
  <si>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</si>
  <si>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</si>
  <si>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</si>
  <si>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</si>
  <si>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</si>
  <si>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</si>
  <si>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</si>
  <si>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</si>
  <si>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</si>
  <si>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</si>
  <si>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</si>
  <si>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</si>
  <si>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</si>
  <si>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</si>
  <si>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</si>
  <si>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</si>
  <si>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</si>
  <si>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</si>
  <si>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</si>
  <si>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</si>
  <si>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</si>
  <si>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</si>
  <si>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</si>
  <si>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</si>
  <si>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</si>
  <si>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</si>
  <si>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</si>
  <si>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</si>
  <si>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</si>
  <si>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</si>
  <si>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</si>
  <si>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</si>
  <si>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</si>
  <si>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</si>
  <si>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</si>
  <si>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</si>
  <si>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</si>
  <si>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</si>
  <si>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</si>
  <si>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</si>
  <si>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</si>
  <si>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</si>
  <si>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</si>
  <si>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</si>
  <si>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</si>
  <si>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</si>
  <si>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</si>
  <si>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</si>
  <si>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</si>
  <si>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</si>
  <si>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</si>
  <si>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</si>
  <si>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</si>
  <si>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</si>
  <si>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</si>
  <si>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</si>
  <si>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</si>
  <si>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</si>
  <si>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</si>
  <si>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</si>
  <si>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</si>
  <si>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</si>
  <si>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</si>
  <si>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</si>
  <si>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</si>
  <si>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</si>
  <si>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</si>
  <si>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</si>
  <si>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</si>
  <si>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</si>
  <si>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</si>
  <si>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</si>
  <si>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</si>
  <si>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</si>
  <si>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</si>
  <si>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</si>
  <si>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</si>
  <si>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</si>
  <si>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</si>
  <si>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</si>
  <si>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</si>
  <si>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</si>
  <si>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</si>
  <si>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</si>
  <si>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</si>
  <si>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</si>
  <si>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</si>
  <si>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</si>
  <si>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</si>
  <si>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</si>
  <si>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</si>
  <si>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</si>
  <si>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</si>
  <si>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23381.008656.2021-71</t>
    </r>
  </si>
  <si>
    <t>Licitação n°</t>
  </si>
  <si>
    <t>007/2021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</si>
  <si>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</si>
  <si>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</si>
  <si>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</si>
  <si>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</si>
  <si>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</si>
  <si>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</si>
  <si>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PB000047/2021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</si>
  <si>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</si>
  <si>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</si>
  <si>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</si>
  <si>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</si>
  <si>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</si>
  <si>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</si>
  <si>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Tradutor-Intérprete de Libras</t>
  </si>
  <si>
    <t>44 horas</t>
  </si>
  <si>
    <t>MTE</t>
  </si>
  <si>
    <t>2614-25</t>
  </si>
  <si>
    <t>SEAC-PB</t>
  </si>
  <si>
    <t>01/JANEIRO</t>
  </si>
  <si>
    <t>GRUPO XII c/c § 4º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</si>
  <si>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</si>
  <si>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</si>
  <si>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</si>
  <si>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</si>
  <si>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</si>
  <si>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</si>
  <si>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</si>
  <si>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</si>
  <si>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</si>
  <si>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</si>
  <si>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</si>
  <si>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</si>
  <si>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</si>
  <si>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</si>
  <si>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</si>
  <si>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</si>
  <si>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</si>
  <si>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</si>
  <si>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</si>
  <si>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</si>
  <si>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</si>
  <si>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</si>
  <si>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</si>
  <si>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</si>
  <si>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</si>
  <si>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</si>
  <si>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</si>
  <si>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</si>
  <si>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</si>
  <si>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</si>
  <si>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</si>
  <si>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Cuidador</t>
  </si>
  <si>
    <t>5162-10</t>
  </si>
  <si>
    <t>GRUPO XII c/c § 5º</t>
  </si>
  <si>
    <t>Alfabetizador de Joves e Adultos</t>
  </si>
  <si>
    <t>2312-05</t>
  </si>
  <si>
    <t>Psicopedagogo Educacional</t>
  </si>
  <si>
    <t>2394-25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</si>
  <si>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</si>
  <si>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</si>
  <si>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</si>
  <si>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</si>
  <si>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</si>
  <si>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</si>
  <si>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</si>
  <si>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</si>
  <si>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</si>
  <si>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</si>
  <si>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</si>
  <si>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</si>
  <si>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</si>
  <si>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</si>
  <si>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</si>
  <si>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</si>
  <si>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</si>
  <si>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</si>
  <si>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</si>
  <si>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</si>
  <si>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</si>
  <si>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</si>
  <si>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</si>
  <si>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</si>
  <si>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</si>
  <si>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</si>
  <si>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</si>
  <si>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</si>
  <si>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</si>
  <si>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</si>
  <si>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TRADUTOR-INTÉRPRETE DE LIBRAS - CBO: 2614-25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</si>
  <si>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</si>
  <si>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CUIDADOR - CBO: 5162-10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</si>
  <si>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ALFABETIZADOR DE JOVENS E ADULTOS - CBO: 2312-05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</si>
  <si>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PSICOPEDAGOGO EDUCACIONAL / INSTITUCIONAL - CBO: 2394-25</t>
    </r>
    <r>
      <rPr>
        <sz val="11"/>
        <color theme="1"/>
        <rFont val="Calibri"/>
        <charset val="134"/>
        <scheme val="minor"/>
      </rPr>
      <t>, em jornada semanal de 44 (quarenta e quatro) horas;</t>
    </r>
  </si>
</sst>
</file>

<file path=xl/styles.xml><?xml version="1.0" encoding="utf-8"?>
<styleSheet xmlns="http://schemas.openxmlformats.org/spreadsheetml/2006/main">
  <numFmts count="11">
    <numFmt numFmtId="176" formatCode="&quot;R$&quot;#,##0.00"/>
    <numFmt numFmtId="177" formatCode="_-* #,##0_-;\-* #,##0_-;_-* &quot;-&quot;_-;_-@_-"/>
    <numFmt numFmtId="178" formatCode="_-&quot;R$&quot;* #,##0_-;\-&quot;R$&quot;* #,##0_-;_-&quot;R$&quot;* &quot;-&quot;_-;_-@_-"/>
    <numFmt numFmtId="179" formatCode="_-* #,##0.00_-;\-* #,##0.00_-;_-* &quot;-&quot;??_-;_-@_-"/>
    <numFmt numFmtId="180" formatCode="_-&quot;R$ &quot;* #,##0.00_-;&quot;-R$ &quot;* #,##0.00_-;_-&quot;R$ &quot;* \-??_-;_-@_-"/>
    <numFmt numFmtId="181" formatCode="&quot;R$ &quot;#,##0.00"/>
    <numFmt numFmtId="182" formatCode="&quot;R$&quot;\ #,##0.00_);[Red]\(&quot;R$&quot;\ #,##0.00\)"/>
    <numFmt numFmtId="183" formatCode="&quot;R$&quot;#,##0.00_);[Red]\(&quot;R$&quot;#,##0.00\)"/>
    <numFmt numFmtId="184" formatCode="0.00_ "/>
    <numFmt numFmtId="185" formatCode="&quot;R$&quot;#,##0.00_);[Red]&quot;(R$&quot;#,##0.00\)"/>
    <numFmt numFmtId="186" formatCode="0.0000_ "/>
  </numFmts>
  <fonts count="42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u/>
      <sz val="11"/>
      <color rgb="FF800080"/>
      <name val="Calibri"/>
      <charset val="0"/>
      <scheme val="minor"/>
    </font>
    <font>
      <sz val="10"/>
      <name val="Arial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78" fontId="18" fillId="0" borderId="0" applyBorder="0" applyAlignment="0" applyProtection="0"/>
    <xf numFmtId="177" fontId="18" fillId="0" borderId="0" applyBorder="0" applyAlignment="0" applyProtection="0"/>
    <xf numFmtId="0" fontId="19" fillId="18" borderId="0" applyNumberFormat="0" applyBorder="0" applyAlignment="0" applyProtection="0">
      <alignment vertical="center"/>
    </xf>
    <xf numFmtId="9" fontId="0" fillId="0" borderId="0" applyBorder="0" applyProtection="0"/>
    <xf numFmtId="0" fontId="23" fillId="0" borderId="17" applyNumberFormat="0" applyFill="0" applyAlignment="0" applyProtection="0">
      <alignment vertical="center"/>
    </xf>
    <xf numFmtId="0" fontId="26" fillId="20" borderId="19" applyNumberFormat="0" applyAlignment="0" applyProtection="0">
      <alignment vertical="center"/>
    </xf>
    <xf numFmtId="179" fontId="18" fillId="0" borderId="0" applyBorder="0" applyAlignment="0" applyProtection="0"/>
    <xf numFmtId="0" fontId="19" fillId="22" borderId="0" applyNumberFormat="0" applyBorder="0" applyAlignment="0" applyProtection="0">
      <alignment vertical="center"/>
    </xf>
    <xf numFmtId="180" fontId="0" fillId="0" borderId="0" applyBorder="0" applyProtection="0"/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8" fillId="23" borderId="20" applyNumberFormat="0" applyFon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7" fillId="40" borderId="23" applyNumberFormat="0" applyAlignment="0" applyProtection="0">
      <alignment vertical="center"/>
    </xf>
    <xf numFmtId="0" fontId="33" fillId="30" borderId="24" applyNumberFormat="0" applyAlignment="0" applyProtection="0">
      <alignment vertical="center"/>
    </xf>
    <xf numFmtId="0" fontId="32" fillId="30" borderId="23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4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43" borderId="0" applyNumberFormat="0" applyBorder="0" applyAlignment="0" applyProtection="0">
      <alignment vertical="center"/>
    </xf>
  </cellStyleXfs>
  <cellXfs count="12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81" fontId="2" fillId="0" borderId="0" xfId="0" applyNumberFormat="1" applyFont="1" applyFill="1" applyAlignment="1">
      <alignment horizontal="center" vertical="center" wrapText="1"/>
    </xf>
    <xf numFmtId="18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/>
    <xf numFmtId="182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wrapText="1"/>
    </xf>
    <xf numFmtId="183" fontId="6" fillId="6" borderId="0" xfId="0" applyNumberFormat="1" applyFont="1" applyFill="1" applyAlignment="1">
      <alignment horizontal="center" vertical="center" wrapText="1"/>
    </xf>
    <xf numFmtId="183" fontId="6" fillId="0" borderId="0" xfId="0" applyNumberFormat="1" applyFont="1" applyAlignment="1">
      <alignment horizontal="center" vertical="center" wrapText="1"/>
    </xf>
    <xf numFmtId="0" fontId="9" fillId="7" borderId="0" xfId="0" applyFont="1" applyFill="1" applyAlignment="1">
      <alignment horizontal="center"/>
    </xf>
    <xf numFmtId="183" fontId="9" fillId="7" borderId="0" xfId="0" applyNumberFormat="1" applyFont="1" applyFill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8" borderId="4" xfId="0" applyFont="1" applyFill="1" applyBorder="1" applyAlignment="1">
      <alignment horizontal="center"/>
    </xf>
    <xf numFmtId="0" fontId="5" fillId="9" borderId="5" xfId="0" applyFont="1" applyFill="1" applyBorder="1" applyAlignment="1">
      <alignment horizontal="left" wrapText="1"/>
    </xf>
    <xf numFmtId="0" fontId="5" fillId="10" borderId="0" xfId="0" applyFont="1" applyFill="1" applyBorder="1" applyAlignment="1">
      <alignment horizontal="left" wrapText="1"/>
    </xf>
    <xf numFmtId="49" fontId="0" fillId="10" borderId="0" xfId="0" applyNumberFormat="1" applyFont="1" applyFill="1" applyBorder="1" applyAlignment="1">
      <alignment horizontal="left"/>
    </xf>
    <xf numFmtId="0" fontId="0" fillId="1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2" fillId="8" borderId="6" xfId="0" applyFont="1" applyFill="1" applyBorder="1" applyAlignment="1">
      <alignment horizontal="center"/>
    </xf>
    <xf numFmtId="0" fontId="0" fillId="9" borderId="7" xfId="0" applyFont="1" applyFill="1" applyBorder="1" applyAlignment="1">
      <alignment horizontal="center"/>
    </xf>
    <xf numFmtId="0" fontId="0" fillId="9" borderId="8" xfId="0" applyFont="1" applyFill="1" applyBorder="1"/>
    <xf numFmtId="0" fontId="0" fillId="11" borderId="8" xfId="0" applyFont="1" applyFill="1" applyBorder="1" applyAlignment="1">
      <alignment horizontal="center"/>
    </xf>
    <xf numFmtId="0" fontId="0" fillId="12" borderId="9" xfId="0" applyFont="1" applyFill="1" applyBorder="1" applyAlignment="1">
      <alignment horizontal="center"/>
    </xf>
    <xf numFmtId="0" fontId="0" fillId="12" borderId="10" xfId="0" applyFont="1" applyFill="1" applyBorder="1"/>
    <xf numFmtId="0" fontId="0" fillId="11" borderId="10" xfId="0" applyFont="1" applyFill="1" applyBorder="1" applyAlignment="1">
      <alignment horizontal="center"/>
    </xf>
    <xf numFmtId="0" fontId="0" fillId="9" borderId="9" xfId="0" applyFont="1" applyFill="1" applyBorder="1" applyAlignment="1">
      <alignment horizontal="center"/>
    </xf>
    <xf numFmtId="0" fontId="0" fillId="9" borderId="10" xfId="0" applyFont="1" applyFill="1" applyBorder="1"/>
    <xf numFmtId="0" fontId="12" fillId="8" borderId="4" xfId="0" applyFont="1" applyFill="1" applyBorder="1" applyAlignment="1">
      <alignment horizontal="center"/>
    </xf>
    <xf numFmtId="0" fontId="12" fillId="8" borderId="11" xfId="0" applyFont="1" applyFill="1" applyBorder="1" applyAlignment="1">
      <alignment horizontal="center" wrapText="1"/>
    </xf>
    <xf numFmtId="0" fontId="12" fillId="8" borderId="12" xfId="0" applyFont="1" applyFill="1" applyBorder="1" applyAlignment="1">
      <alignment horizontal="center"/>
    </xf>
    <xf numFmtId="0" fontId="0" fillId="9" borderId="10" xfId="0" applyFont="1" applyFill="1" applyBorder="1" applyAlignment="1">
      <alignment horizontal="center"/>
    </xf>
    <xf numFmtId="0" fontId="0" fillId="11" borderId="13" xfId="0" applyFont="1" applyFill="1" applyBorder="1" applyAlignment="1">
      <alignment horizontal="center"/>
    </xf>
    <xf numFmtId="0" fontId="0" fillId="12" borderId="10" xfId="0" applyFont="1" applyFill="1" applyBorder="1" applyAlignment="1">
      <alignment horizontal="center"/>
    </xf>
    <xf numFmtId="181" fontId="0" fillId="11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1" borderId="0" xfId="0" applyFill="1" applyAlignment="1">
      <alignment horizontal="center"/>
    </xf>
    <xf numFmtId="181" fontId="0" fillId="11" borderId="0" xfId="0" applyNumberFormat="1" applyFill="1" applyAlignment="1">
      <alignment horizontal="center"/>
    </xf>
    <xf numFmtId="0" fontId="0" fillId="11" borderId="0" xfId="0" applyFont="1" applyFill="1" applyAlignment="1">
      <alignment horizontal="center"/>
    </xf>
    <xf numFmtId="49" fontId="0" fillId="11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1" borderId="0" xfId="0" applyFont="1" applyFill="1" applyAlignment="1">
      <alignment horizontal="center" wrapText="1"/>
    </xf>
    <xf numFmtId="181" fontId="0" fillId="0" borderId="0" xfId="0" applyNumberFormat="1" applyAlignment="1">
      <alignment horizontal="center"/>
    </xf>
    <xf numFmtId="0" fontId="12" fillId="8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2" fillId="8" borderId="0" xfId="0" applyFont="1" applyFill="1" applyBorder="1" applyAlignment="1">
      <alignment horizontal="center" vertical="center"/>
    </xf>
    <xf numFmtId="0" fontId="5" fillId="9" borderId="8" xfId="0" applyFont="1" applyFill="1" applyBorder="1" applyAlignment="1">
      <alignment horizontal="center" vertical="center"/>
    </xf>
    <xf numFmtId="185" fontId="0" fillId="11" borderId="14" xfId="0" applyNumberFormat="1" applyFont="1" applyFill="1" applyBorder="1" applyAlignment="1">
      <alignment horizontal="center" vertical="center"/>
    </xf>
    <xf numFmtId="0" fontId="5" fillId="12" borderId="14" xfId="0" applyFont="1" applyFill="1" applyBorder="1" applyAlignment="1">
      <alignment horizontal="center" vertical="center"/>
    </xf>
    <xf numFmtId="185" fontId="5" fillId="11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1" borderId="0" xfId="4" applyNumberFormat="1" applyFont="1" applyFill="1" applyBorder="1" applyAlignment="1" applyProtection="1">
      <alignment horizontal="center"/>
    </xf>
    <xf numFmtId="181" fontId="0" fillId="11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1" fontId="0" fillId="11" borderId="0" xfId="0" applyNumberFormat="1" applyFill="1" applyAlignment="1">
      <alignment horizontal="center" vertical="center"/>
    </xf>
    <xf numFmtId="181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1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1" fontId="0" fillId="6" borderId="0" xfId="0" applyNumberFormat="1" applyFill="1" applyAlignment="1">
      <alignment horizontal="center"/>
    </xf>
    <xf numFmtId="181" fontId="0" fillId="6" borderId="0" xfId="0" applyNumberFormat="1" applyFill="1" applyAlignment="1">
      <alignment horizontal="center" vertical="center"/>
    </xf>
    <xf numFmtId="0" fontId="12" fillId="8" borderId="0" xfId="0" applyFont="1" applyFill="1" applyBorder="1" applyAlignment="1">
      <alignment horizontal="center" wrapText="1"/>
    </xf>
    <xf numFmtId="184" fontId="0" fillId="11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181" fontId="13" fillId="0" borderId="0" xfId="0" applyNumberFormat="1" applyFont="1" applyAlignment="1">
      <alignment vertical="center"/>
    </xf>
    <xf numFmtId="0" fontId="13" fillId="0" borderId="0" xfId="0" applyFont="1" applyAlignment="1">
      <alignment horizontal="center"/>
    </xf>
    <xf numFmtId="181" fontId="13" fillId="0" borderId="0" xfId="0" applyNumberFormat="1" applyFont="1" applyAlignment="1">
      <alignment horizontal="center"/>
    </xf>
    <xf numFmtId="181" fontId="14" fillId="11" borderId="0" xfId="0" applyNumberFormat="1" applyFont="1" applyFill="1" applyAlignment="1">
      <alignment horizontal="center"/>
    </xf>
    <xf numFmtId="181" fontId="0" fillId="0" borderId="0" xfId="0" applyNumberFormat="1" applyAlignment="1">
      <alignment horizontal="center" vertical="center"/>
    </xf>
    <xf numFmtId="181" fontId="6" fillId="11" borderId="0" xfId="0" applyNumberFormat="1" applyFont="1" applyFill="1" applyAlignment="1">
      <alignment horizontal="center"/>
    </xf>
    <xf numFmtId="0" fontId="12" fillId="8" borderId="12" xfId="0" applyFont="1" applyFill="1" applyBorder="1" applyAlignment="1">
      <alignment horizontal="center" vertical="center"/>
    </xf>
    <xf numFmtId="10" fontId="6" fillId="11" borderId="0" xfId="4" applyNumberFormat="1" applyFont="1" applyFill="1" applyBorder="1" applyAlignment="1" applyProtection="1">
      <alignment horizontal="center"/>
    </xf>
    <xf numFmtId="0" fontId="0" fillId="9" borderId="8" xfId="0" applyFont="1" applyFill="1" applyBorder="1" applyAlignment="1">
      <alignment horizontal="left" vertical="center"/>
    </xf>
    <xf numFmtId="0" fontId="0" fillId="12" borderId="14" xfId="0" applyFont="1" applyFill="1" applyBorder="1" applyAlignment="1">
      <alignment horizontal="left" vertical="center"/>
    </xf>
    <xf numFmtId="185" fontId="0" fillId="11" borderId="0" xfId="0" applyNumberFormat="1" applyFill="1"/>
    <xf numFmtId="186" fontId="0" fillId="11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15" fillId="8" borderId="0" xfId="0" applyFont="1" applyFill="1"/>
    <xf numFmtId="0" fontId="12" fillId="8" borderId="0" xfId="0" applyFont="1" applyFill="1" applyAlignment="1">
      <alignment horizontal="center" vertical="center"/>
    </xf>
    <xf numFmtId="181" fontId="12" fillId="8" borderId="0" xfId="0" applyNumberFormat="1" applyFont="1" applyFill="1" applyAlignment="1">
      <alignment horizontal="center"/>
    </xf>
    <xf numFmtId="0" fontId="5" fillId="0" borderId="15" xfId="0" applyFont="1" applyBorder="1" applyAlignment="1">
      <alignment horizontal="center"/>
    </xf>
    <xf numFmtId="180" fontId="0" fillId="11" borderId="0" xfId="9" applyFont="1" applyFill="1" applyBorder="1" applyAlignment="1" applyProtection="1">
      <alignment horizontal="center"/>
    </xf>
    <xf numFmtId="176" fontId="0" fillId="11" borderId="0" xfId="0" applyNumberFormat="1" applyFill="1" applyAlignment="1">
      <alignment horizontal="center"/>
    </xf>
    <xf numFmtId="9" fontId="0" fillId="11" borderId="0" xfId="0" applyNumberFormat="1" applyFill="1" applyAlignment="1">
      <alignment horizontal="center"/>
    </xf>
    <xf numFmtId="0" fontId="0" fillId="0" borderId="0" xfId="0" applyFont="1" applyAlignment="1"/>
    <xf numFmtId="10" fontId="0" fillId="11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1" fontId="0" fillId="0" borderId="0" xfId="0" applyNumberFormat="1" applyFont="1" applyAlignment="1">
      <alignment horizontal="center" vertical="center" wrapText="1"/>
    </xf>
    <xf numFmtId="181" fontId="15" fillId="8" borderId="0" xfId="0" applyNumberFormat="1" applyFont="1" applyFill="1" applyAlignment="1">
      <alignment horizontal="center"/>
    </xf>
    <xf numFmtId="0" fontId="5" fillId="13" borderId="16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left" vertical="center" wrapText="1"/>
    </xf>
    <xf numFmtId="0" fontId="0" fillId="13" borderId="0" xfId="0" applyFont="1" applyFill="1" applyBorder="1" applyAlignment="1">
      <alignment horizontal="left" wrapText="1"/>
    </xf>
    <xf numFmtId="0" fontId="5" fillId="13" borderId="0" xfId="0" applyFont="1" applyFill="1" applyBorder="1" applyAlignment="1">
      <alignment horizontal="left" vertical="center" wrapText="1"/>
    </xf>
    <xf numFmtId="0" fontId="16" fillId="13" borderId="0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305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2" formatCode="&quot;R$&quot;\ #,##0.00_);[Red]\(&quot;R$&quot;\ #,##0.00\)"/>
      <alignment horizontal="center" vertical="center"/>
    </dxf>
    <dxf>
      <alignment wrapText="1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" name="Módulo358_571046" displayName="Módulo358_571046" ref="A75:D82" totalsRowCount="1">
  <autoFilter ref="A75:D81"/>
  <tableColumns count="4">
    <tableColumn id="1" name="3" totalsRowLabel="Total" dataDxfId="82"/>
    <tableColumn id="2" name="Provisão para Rescisão" dataDxfId="83"/>
    <tableColumn id="3" name="Percentual" totalsRowFunction="custom">
      <totalsRowFormula>SUM(C76:C81)</totalsRowFormula>
       dataDxfId="84"
    </tableColumn>
    <tableColumn id="4" name="Valor" totalsRowFunction="custom">
      <totalsRowFormula>TRUNC((SUM(D76:D81)),2)</totalsRowFormula>
       dataDxfId="85"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9" name="ResumoMódulo257_6011310" displayName="ResumoMódulo257_6011310" ref="A68:D72" totalsRowCount="1">
  <autoFilter ref="A68:D71"/>
  <tableColumns count="4">
    <tableColumn id="1" name="2" totalsRowLabel="Total" dataDxfId="86"/>
    <tableColumn id="2" name="Encargos e Benefícios Anuais, Mensais e Diários" dataDxfId="87"/>
    <tableColumn id="3" name="Comentário" dataDxfId="88"/>
    <tableColumn id="4" name="Valor" totalsRowFunction="custom">
      <totalsRowFormula>TRUNC((SUM(D69:D71)),2)</totalsRowFormula>
       dataDxfId="89"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1" name="Submódulo2.255_6311412" displayName="Submódulo2.255_6311412" ref="A46:D55" totalsRowCount="1">
  <autoFilter ref="A46:D54"/>
  <tableColumns count="4">
    <tableColumn id="1" name="2.2" totalsRowLabel="Total" dataDxfId="90"/>
    <tableColumn id="2" name="GPS, FGTS e outras contribuições" dataDxfId="91"/>
    <tableColumn id="3" name="Percentual" totalsRowFunction="custom">
      <totalsRowFormula>SUM(C47:C54)</totalsRowFormula>
       dataDxfId="92"
    </tableColumn>
    <tableColumn id="4" name="Valor " totalsRowFunction="custom">
      <totalsRowFormula>TRUNC(SUM(D47:D54),2)</totalsRowFormula>
       dataDxfId="93"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3" name="Módulo562_5811614" displayName="Módulo562_5811614" ref="A112:D118" totalsRowCount="1">
  <autoFilter ref="A112:D117"/>
  <tableColumns count="4">
    <tableColumn id="1" name="5" totalsRowLabel="Total" dataDxfId="94"/>
    <tableColumn id="2" name="Insumos Diversos" dataDxfId="95"/>
    <tableColumn id="3" name="Comentário" dataDxfId="96"/>
    <tableColumn id="4" name="Valor" totalsRowFunction="custom">
      <totalsRowFormula>TRUNC(SUM(D113:D117),2)</totalsRowFormula>
       dataDxfId="97"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5" name="Módulo663_5910516" displayName="Módulo663_5910516" ref="A128:D135" totalsRowCount="1">
  <tableColumns count="4">
    <tableColumn id="1" name="6" totalsRowLabel="Total" dataDxfId="98"/>
    <tableColumn id="2" name="Custos Indiretos, Tributos e Lucro" dataDxfId="99"/>
    <tableColumn id="3" name="Percentual" dataDxfId="100"/>
    <tableColumn id="4" name="Valor" totalsRowFunction="custom">
      <totalsRowFormula>SUM(D129:D131)</totalsRowFormula>
       dataDxfId="101"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7" name="ResumoMódulo461_6211518" displayName="ResumoMódulo461_6211518" ref="A106:D109" totalsRowCount="1">
  <autoFilter ref="A106:D108"/>
  <tableColumns count="4">
    <tableColumn id="1" name="4" totalsRowLabel="Total" dataDxfId="102"/>
    <tableColumn id="2" name="Custo de Reposição do Profissional Ausente" dataDxfId="103"/>
    <tableColumn id="3" name="Comentário" totalsRowLabel="*Nota: Se o titular USUFRUIR do descanso intrajornada, o total é o somatório dos subitens 4.1 e 4.2" dataDxfId="104"/>
    <tableColumn id="4" name="Valor" totalsRowFunction="custom">
      <totalsRowFormula>TRUNC((SUM(D107:D108)),2)</totalsRowFormula>
       dataDxfId="105"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9" name="Submódulo4.260_5510720" displayName="Submódulo4.260_5510720" ref="A101:D103" totalsRowCount="1">
  <autoFilter ref="A101:D102"/>
  <tableColumns count="4">
    <tableColumn id="1" name="4.2" totalsRowLabel="Total" dataDxfId="106"/>
    <tableColumn id="2" name="Substituto na Intrajornada " dataDxfId="107"/>
    <tableColumn id="3" name="Comentário" dataDxfId="108"/>
    <tableColumn id="4" name="Valor" totalsRowFunction="custom">
      <totalsRowFormula>D102</totalsRowFormula>
       dataDxfId="109"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21" name="Submódulo2.154_6111122" displayName="Submódulo2.154_6111122" ref="A36:D39" totalsRowCount="1">
  <autoFilter ref="A36:D38"/>
  <tableColumns count="4">
    <tableColumn id="1" name="2.1" totalsRowLabel="Total" dataDxfId="110"/>
    <tableColumn id="2" name="13º (décimo terceiro) Salário, Férias e Adicional de Férias" dataDxfId="111"/>
    <tableColumn id="3" name="Percentual" dataDxfId="112"/>
    <tableColumn id="4" name="Valor" totalsRowFunction="custom">
      <totalsRowFormula>TRUNC((SUM(D37:D38)),2)</totalsRowFormula>
       dataDxfId="113"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23" name="Submódulo4.159_5411024" displayName="Submódulo4.159_5411024" ref="A91:D98" totalsRowCount="1">
  <autoFilter ref="A91:D97"/>
  <tableColumns count="4">
    <tableColumn id="1" name="4.1" totalsRowLabel="Total" dataDxfId="114"/>
    <tableColumn id="2" name="Substituto nas Ausências Legais" dataDxfId="115"/>
    <tableColumn id="3" name="Percentual" totalsRowFunction="custom">
      <totalsRowFormula>SUM(C92:C97)</totalsRowFormula>
       dataDxfId="116"
    </tableColumn>
    <tableColumn id="4" name="Valor" totalsRowFunction="custom">
      <totalsRowFormula>TRUNC((SUM(D92:D97)),2)</totalsRowFormula>
       dataDxfId="117"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25" name="Módulo153_5210926" displayName="Módulo153_5210926" ref="A24:D31" totalsRowCount="1">
  <autoFilter ref="A24:D30"/>
  <tableColumns count="4">
    <tableColumn id="1" name="1" totalsRowLabel="Total" dataDxfId="118"/>
    <tableColumn id="2" name="Composição da Remuneração" dataDxfId="119"/>
    <tableColumn id="3" name="Comentário" dataDxfId="120"/>
    <tableColumn id="4" name="Valor" totalsRowFunction="custom">
      <totalsRowFormula>TRUNC((SUM(D25:D30)),2)</totalsRowFormula>
       dataDxfId="121"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27" name="Submódulo2.356_5311228" displayName="Submódulo2.356_5311228" ref="A58:D65" totalsRowCount="1">
  <autoFilter ref="A58:D64"/>
  <tableColumns count="4">
    <tableColumn id="1" name="2.3" totalsRowLabel="Total" dataDxfId="122"/>
    <tableColumn id="2" name="Benefícios Mensais e Diários" dataDxfId="123"/>
    <tableColumn id="3" name="Comentário" dataDxfId="124"/>
    <tableColumn id="4" name="Valor" totalsRowFunction="custom">
      <totalsRowFormula>TRUNC((SUM(D59:D64)),2)</totalsRowFormula>
       dataDxfId="125"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29" name="Table452_5610630" displayName="Table452_5610630" ref="A16:D21" totalsRowShown="0">
  <tableColumns count="4">
    <tableColumn id="1" name="Item" dataDxfId="126"/>
    <tableColumn id="2" name="Descrição" dataDxfId="127"/>
    <tableColumn id="3" name="Comentário" dataDxfId="128"/>
    <tableColumn id="4" name="Valor" dataDxfId="129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30" name="ResumoPosto64_6410831" displayName="ResumoPosto64_6410831" ref="A139:D147" totalsRowShown="0">
  <autoFilter ref="A139:D147"/>
  <tableColumns count="4">
    <tableColumn id="1" name="Item" dataDxfId="130"/>
    <tableColumn id="2" name="Mão de obra vinculada à execução contratual" dataDxfId="131"/>
    <tableColumn id="3" name="-" dataDxfId="132"/>
    <tableColumn id="4" name="Valor" dataDxfId="133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31" name="Módulo358_5710432" displayName="Módulo358_5710432" ref="A75:D82" totalsRowCount="1">
  <autoFilter ref="A75:D81"/>
  <tableColumns count="4">
    <tableColumn id="1" name="3" totalsRowLabel="Total" dataDxfId="134"/>
    <tableColumn id="2" name="Provisão para Rescisão" dataDxfId="135"/>
    <tableColumn id="3" name="Percentual" totalsRowFunction="custom">
      <totalsRowFormula>SUM(C76:C81)</totalsRowFormula>
       dataDxfId="136"
    </tableColumn>
    <tableColumn id="4" name="Valor" totalsRowFunction="custom">
      <totalsRowFormula>TRUNC((SUM(D76:D81)),2)</totalsRowFormula>
       dataDxfId="137"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38" name="ResumoMódulo257_6011339" displayName="ResumoMódulo257_6011339" ref="A68:D72" totalsRowCount="1">
  <autoFilter ref="A68:D71"/>
  <tableColumns count="4">
    <tableColumn id="1" name="2" totalsRowLabel="Total" dataDxfId="138"/>
    <tableColumn id="2" name="Encargos e Benefícios Anuais, Mensais e Diários" dataDxfId="139"/>
    <tableColumn id="3" name="Comentário" dataDxfId="140"/>
    <tableColumn id="4" name="Valor" totalsRowFunction="custom">
      <totalsRowFormula>TRUNC((SUM(D69:D71)),2)</totalsRowFormula>
       dataDxfId="141"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39" name="Submódulo2.255_6311440" displayName="Submódulo2.255_6311440" ref="A46:D55" totalsRowCount="1">
  <autoFilter ref="A46:D54"/>
  <tableColumns count="4">
    <tableColumn id="1" name="2.2" totalsRowLabel="Total" dataDxfId="142"/>
    <tableColumn id="2" name="GPS, FGTS e outras contribuições" dataDxfId="143"/>
    <tableColumn id="3" name="Percentual" totalsRowFunction="custom">
      <totalsRowFormula>SUM(C47:C54)</totalsRowFormula>
       dataDxfId="144"
    </tableColumn>
    <tableColumn id="4" name="Valor " totalsRowFunction="custom">
      <totalsRowFormula>TRUNC(SUM(D47:D54),2)</totalsRowFormula>
       dataDxfId="145"
    </tableColumn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40" name="Módulo562_5811641" displayName="Módulo562_5811641" ref="A112:D118" totalsRowCount="1">
  <autoFilter ref="A112:D117"/>
  <tableColumns count="4">
    <tableColumn id="1" name="5" totalsRowLabel="Total" dataDxfId="146"/>
    <tableColumn id="2" name="Insumos Diversos" dataDxfId="147"/>
    <tableColumn id="3" name="Comentário" dataDxfId="148"/>
    <tableColumn id="4" name="Valor" totalsRowFunction="custom">
      <totalsRowFormula>TRUNC(SUM(D113:D117),2)</totalsRowFormula>
       dataDxfId="149"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41" name="Módulo663_5910542" displayName="Módulo663_5910542" ref="A128:D135" totalsRowCount="1">
  <tableColumns count="4">
    <tableColumn id="1" name="6" totalsRowLabel="Total" dataDxfId="150"/>
    <tableColumn id="2" name="Custos Indiretos, Tributos e Lucro" dataDxfId="151"/>
    <tableColumn id="3" name="Percentual" dataDxfId="152"/>
    <tableColumn id="4" name="Valor" totalsRowFunction="custom">
      <totalsRowFormula>SUM(D129:D131)</totalsRowFormula>
       dataDxfId="153"
    </tableColumn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42" name="ResumoMódulo461_6211543" displayName="ResumoMódulo461_6211543" ref="A106:D109" totalsRowCount="1">
  <autoFilter ref="A106:D108"/>
  <tableColumns count="4">
    <tableColumn id="1" name="4" totalsRowLabel="Total" dataDxfId="154"/>
    <tableColumn id="2" name="Custo de Reposição do Profissional Ausente" dataDxfId="155"/>
    <tableColumn id="3" name="Comentário" totalsRowLabel="*Nota: Se o titular USUFRUIR do descanso intrajornada, o total é o somatório dos subitens 4.1 e 4.2" dataDxfId="156"/>
    <tableColumn id="4" name="Valor" totalsRowFunction="custom">
      <totalsRowFormula>TRUNC((SUM(D107:D108)),2)</totalsRowFormula>
       dataDxfId="157"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43" name="Submódulo4.260_5510744" displayName="Submódulo4.260_5510744" ref="A101:D103" totalsRowCount="1">
  <autoFilter ref="A101:D102"/>
  <tableColumns count="4">
    <tableColumn id="1" name="4.2" totalsRowLabel="Total" dataDxfId="158"/>
    <tableColumn id="2" name="Substituto na Intrajornada " dataDxfId="159"/>
    <tableColumn id="3" name="Comentário" dataDxfId="160"/>
    <tableColumn id="4" name="Valor" totalsRowFunction="custom">
      <totalsRowFormula>D102</totalsRowFormula>
       dataDxfId="161"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44" name="Submódulo2.154_6111145" displayName="Submódulo2.154_6111145" ref="A36:D39" totalsRowCount="1">
  <autoFilter ref="A36:D38"/>
  <tableColumns count="4">
    <tableColumn id="1" name="2.1" totalsRowLabel="Total" dataDxfId="162"/>
    <tableColumn id="2" name="13º (décimo terceiro) Salário, Férias e Adicional de Férias" dataDxfId="163"/>
    <tableColumn id="3" name="Percentual" dataDxfId="164"/>
    <tableColumn id="4" name="Valor" totalsRowFunction="custom">
      <totalsRowFormula>TRUNC((SUM(D37:D38)),2)</totalsRowFormula>
       dataDxfId="165"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45" name="Submódulo4.159_5411046" displayName="Submódulo4.159_5411046" ref="A91:D98" totalsRowCount="1">
  <autoFilter ref="A91:D97"/>
  <tableColumns count="4">
    <tableColumn id="1" name="4.1" totalsRowLabel="Total" dataDxfId="166"/>
    <tableColumn id="2" name="Substituto nas Ausências Legais" dataDxfId="167"/>
    <tableColumn id="3" name="Percentual" totalsRowFunction="custom">
      <totalsRowFormula>SUM(C92:C97)</totalsRowFormula>
       dataDxfId="168"
    </tableColumn>
    <tableColumn id="4" name="Valor" totalsRowFunction="custom">
      <totalsRowFormula>TRUNC((SUM(D92:D97)),2)</totalsRowFormula>
       dataDxfId="169"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46" name="Módulo153_5210947" displayName="Módulo153_5210947" ref="A24:D31" totalsRowCount="1">
  <autoFilter ref="A24:D30"/>
  <tableColumns count="4">
    <tableColumn id="1" name="1" totalsRowLabel="Total" dataDxfId="170"/>
    <tableColumn id="2" name="Composição da Remuneração" dataDxfId="171"/>
    <tableColumn id="3" name="Comentário" dataDxfId="172"/>
    <tableColumn id="4" name="Valor" totalsRowFunction="custom">
      <totalsRowFormula>TRUNC((SUM(D25:D30)),2)</totalsRowFormula>
       dataDxfId="173"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47" name="Submódulo2.356_5311248" displayName="Submódulo2.356_5311248" ref="A58:D65" totalsRowCount="1">
  <autoFilter ref="A58:D64"/>
  <tableColumns count="4">
    <tableColumn id="1" name="2.3" totalsRowLabel="Total" dataDxfId="174"/>
    <tableColumn id="2" name="Benefícios Mensais e Diários" dataDxfId="175"/>
    <tableColumn id="3" name="Comentário" dataDxfId="176"/>
    <tableColumn id="4" name="Valor" totalsRowFunction="custom">
      <totalsRowFormula>TRUNC((SUM(D59:D64)),2)</totalsRowFormula>
       dataDxfId="177"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48" name="Table452_5610649" displayName="Table452_5610649" ref="A16:D21" totalsRowShown="0">
  <tableColumns count="4">
    <tableColumn id="1" name="Item" dataDxfId="178"/>
    <tableColumn id="2" name="Descrição" dataDxfId="179"/>
    <tableColumn id="3" name="Comentário" dataDxfId="180"/>
    <tableColumn id="4" name="Valor" dataDxfId="181"/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49" name="ResumoPosto64_6410850" displayName="ResumoPosto64_6410850" ref="A139:D147" totalsRowShown="0">
  <autoFilter ref="A139:D147"/>
  <tableColumns count="4">
    <tableColumn id="1" name="Item" dataDxfId="182"/>
    <tableColumn id="2" name="Mão de obra vinculada à execução contratual" dataDxfId="183"/>
    <tableColumn id="3" name="-" dataDxfId="184"/>
    <tableColumn id="4" name="Valor" dataDxfId="185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63" name="Módulo358_5710464" displayName="Módulo358_5710464" ref="A75:D82" totalsRowCount="1">
  <autoFilter ref="A75:D81"/>
  <tableColumns count="4">
    <tableColumn id="1" name="3" totalsRowLabel="Total" dataDxfId="186"/>
    <tableColumn id="2" name="Provisão para Rescisão" dataDxfId="187"/>
    <tableColumn id="3" name="Percentual" totalsRowFunction="custom">
      <totalsRowFormula>SUM(C76:C81)</totalsRowFormula>
       dataDxfId="188"
    </tableColumn>
    <tableColumn id="4" name="Valor" totalsRowFunction="custom">
      <totalsRowFormula>TRUNC((SUM(D76:D81)),2)</totalsRowFormula>
       dataDxfId="189"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65" name="ResumoMódulo257_6011366" displayName="ResumoMódulo257_6011366" ref="A68:D72" totalsRowCount="1">
  <autoFilter ref="A68:D71"/>
  <tableColumns count="4">
    <tableColumn id="1" name="2" totalsRowLabel="Total" dataDxfId="190"/>
    <tableColumn id="2" name="Encargos e Benefícios Anuais, Mensais e Diários" dataDxfId="191"/>
    <tableColumn id="3" name="Comentário" dataDxfId="192"/>
    <tableColumn id="4" name="Valor" totalsRowFunction="custom">
      <totalsRowFormula>TRUNC((SUM(D69:D71)),2)</totalsRowFormula>
       dataDxfId="193"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66" name="Submódulo2.255_6311467" displayName="Submódulo2.255_6311467" ref="A46:D55" totalsRowCount="1">
  <autoFilter ref="A46:D54"/>
  <tableColumns count="4">
    <tableColumn id="1" name="2.2" totalsRowLabel="Total" dataDxfId="194"/>
    <tableColumn id="2" name="GPS, FGTS e outras contribuições" dataDxfId="195"/>
    <tableColumn id="3" name="Percentual" totalsRowFunction="custom">
      <totalsRowFormula>SUM(C47:C54)</totalsRowFormula>
       dataDxfId="196"
    </tableColumn>
    <tableColumn id="4" name="Valor " totalsRowFunction="custom">
      <totalsRowFormula>TRUNC(SUM(D47:D54),2)</totalsRowFormula>
       dataDxfId="197"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67" name="Módulo562_5811668" displayName="Módulo562_5811668" ref="A112:D118" totalsRowCount="1">
  <autoFilter ref="A112:D117"/>
  <tableColumns count="4">
    <tableColumn id="1" name="5" totalsRowLabel="Total" dataDxfId="198"/>
    <tableColumn id="2" name="Insumos Diversos" dataDxfId="199"/>
    <tableColumn id="3" name="Comentário" dataDxfId="200"/>
    <tableColumn id="4" name="Valor" totalsRowFunction="custom">
      <totalsRowFormula>TRUNC(SUM(D113:D117),2)</totalsRowFormula>
       dataDxfId="201"
    </tableColumn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68" name="Módulo663_5910569" displayName="Módulo663_5910569" ref="A128:D135" totalsRowCount="1">
  <tableColumns count="4">
    <tableColumn id="1" name="6" totalsRowLabel="Total" dataDxfId="202"/>
    <tableColumn id="2" name="Custos Indiretos, Tributos e Lucro" dataDxfId="203"/>
    <tableColumn id="3" name="Percentual" dataDxfId="204"/>
    <tableColumn id="4" name="Valor" totalsRowFunction="custom">
      <totalsRowFormula>SUM(D129:D131)</totalsRowFormula>
       dataDxfId="205"
    </tableColumn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69" name="ResumoMódulo461_6211570" displayName="ResumoMódulo461_6211570" ref="A106:D109" totalsRowCount="1">
  <autoFilter ref="A106:D108"/>
  <tableColumns count="4">
    <tableColumn id="1" name="4" totalsRowLabel="Total" dataDxfId="206"/>
    <tableColumn id="2" name="Custo de Reposição do Profissional Ausente" dataDxfId="207"/>
    <tableColumn id="3" name="Comentário" totalsRowLabel="*Nota: Se o titular USUFRUIR do descanso intrajornada, o total é o somatório dos subitens 4.1 e 4.2" dataDxfId="208"/>
    <tableColumn id="4" name="Valor" totalsRowFunction="custom">
      <totalsRowFormula>TRUNC((SUM(D107:D108)),2)</totalsRowFormula>
       dataDxfId="209"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70" name="Submódulo4.260_5510771" displayName="Submódulo4.260_5510771" ref="A101:D103" totalsRowCount="1">
  <autoFilter ref="A101:D102"/>
  <tableColumns count="4">
    <tableColumn id="1" name="4.2" totalsRowLabel="Total" dataDxfId="210"/>
    <tableColumn id="2" name="Substituto na Intrajornada " dataDxfId="211"/>
    <tableColumn id="3" name="Comentário" dataDxfId="212"/>
    <tableColumn id="4" name="Valor" totalsRowFunction="custom">
      <totalsRowFormula>D102</totalsRowFormula>
       dataDxfId="213"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71" name="Submódulo2.154_6111172" displayName="Submódulo2.154_6111172" ref="A36:D39" totalsRowCount="1">
  <autoFilter ref="A36:D38"/>
  <tableColumns count="4">
    <tableColumn id="1" name="2.1" totalsRowLabel="Total" dataDxfId="214"/>
    <tableColumn id="2" name="13º (décimo terceiro) Salário, Férias e Adicional de Férias" dataDxfId="215"/>
    <tableColumn id="3" name="Percentual" dataDxfId="216"/>
    <tableColumn id="4" name="Valor" totalsRowFunction="custom">
      <totalsRowFormula>TRUNC((SUM(D37:D38)),2)</totalsRowFormula>
       dataDxfId="217"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72" name="Submódulo4.159_5411073" displayName="Submódulo4.159_5411073" ref="A91:D98" totalsRowCount="1">
  <autoFilter ref="A91:D97"/>
  <tableColumns count="4">
    <tableColumn id="1" name="4.1" totalsRowLabel="Total" dataDxfId="218"/>
    <tableColumn id="2" name="Substituto nas Ausências Legais" dataDxfId="219"/>
    <tableColumn id="3" name="Percentual" totalsRowFunction="custom">
      <totalsRowFormula>SUM(C92:C97)</totalsRowFormula>
       dataDxfId="220"
    </tableColumn>
    <tableColumn id="4" name="Valor" totalsRowFunction="custom">
      <totalsRowFormula>TRUNC((SUM(D92:D97)),2)</totalsRowFormula>
       dataDxfId="221"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73" name="Módulo153_5210974" displayName="Módulo153_5210974" ref="A24:D31" totalsRowCount="1">
  <autoFilter ref="A24:D30"/>
  <tableColumns count="4">
    <tableColumn id="1" name="1" totalsRowLabel="Total" dataDxfId="222"/>
    <tableColumn id="2" name="Composição da Remuneração" dataDxfId="223"/>
    <tableColumn id="3" name="Comentário" dataDxfId="224"/>
    <tableColumn id="4" name="Valor" totalsRowFunction="custom">
      <totalsRowFormula>TRUNC((SUM(D25:D30)),2)</totalsRowFormula>
       dataDxfId="225"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74" name="Submódulo2.356_5311275" displayName="Submódulo2.356_5311275" ref="A58:D65" totalsRowCount="1">
  <autoFilter ref="A58:D64"/>
  <tableColumns count="4">
    <tableColumn id="1" name="2.3" totalsRowLabel="Total" dataDxfId="226"/>
    <tableColumn id="2" name="Benefícios Mensais e Diários" dataDxfId="227"/>
    <tableColumn id="3" name="Comentário" dataDxfId="228"/>
    <tableColumn id="4" name="Valor" totalsRowFunction="custom">
      <totalsRowFormula>TRUNC((SUM(D59:D64)),2)</totalsRowFormula>
       dataDxfId="229"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75" name="Table452_5610676" displayName="Table452_5610676" ref="A16:D21" totalsRowShown="0">
  <tableColumns count="4">
    <tableColumn id="1" name="Item" dataDxfId="230"/>
    <tableColumn id="2" name="Descrição" dataDxfId="231"/>
    <tableColumn id="3" name="Comentário" dataDxfId="232"/>
    <tableColumn id="4" name="Valor" dataDxfId="233"/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76" name="ResumoPosto64_6410877" displayName="ResumoPosto64_6410877" ref="A139:D147" totalsRowShown="0">
  <autoFilter ref="A139:D147"/>
  <tableColumns count="4">
    <tableColumn id="1" name="Item" dataDxfId="234"/>
    <tableColumn id="2" name="Mão de obra vinculada à execução contratual" dataDxfId="235"/>
    <tableColumn id="3" name="-" dataDxfId="236"/>
    <tableColumn id="4" name="Valor" dataDxfId="237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77" name="Módulo358_5710478" displayName="Módulo358_5710478" ref="A75:D82" totalsRowCount="1">
  <autoFilter ref="A75:D81"/>
  <tableColumns count="4">
    <tableColumn id="1" name="3" totalsRowLabel="Total" dataDxfId="238"/>
    <tableColumn id="2" name="Provisão para Rescisão" dataDxfId="239"/>
    <tableColumn id="3" name="Percentual" totalsRowFunction="custom">
      <totalsRowFormula>SUM(C76:C81)</totalsRowFormula>
       dataDxfId="240"
    </tableColumn>
    <tableColumn id="4" name="Valor" totalsRowFunction="custom">
      <totalsRowFormula>TRUNC((SUM(D76:D81)),2)</totalsRowFormula>
       dataDxfId="241"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78" name="ResumoMódulo257_6011379" displayName="ResumoMódulo257_6011379" ref="A68:D72" totalsRowCount="1">
  <autoFilter ref="A68:D71"/>
  <tableColumns count="4">
    <tableColumn id="1" name="2" totalsRowLabel="Total" dataDxfId="242"/>
    <tableColumn id="2" name="Encargos e Benefícios Anuais, Mensais e Diários" dataDxfId="243"/>
    <tableColumn id="3" name="Comentário" dataDxfId="244"/>
    <tableColumn id="4" name="Valor" totalsRowFunction="custom">
      <totalsRowFormula>TRUNC((SUM(D69:D71)),2)</totalsRowFormula>
       dataDxfId="245"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79" name="Submódulo2.255_6311480" displayName="Submódulo2.255_6311480" ref="A46:D55" totalsRowCount="1">
  <autoFilter ref="A46:D54"/>
  <tableColumns count="4">
    <tableColumn id="1" name="2.2" totalsRowLabel="Total" dataDxfId="246"/>
    <tableColumn id="2" name="GPS, FGTS e outras contribuições" dataDxfId="247"/>
    <tableColumn id="3" name="Percentual" totalsRowFunction="custom">
      <totalsRowFormula>SUM(C47:C54)</totalsRowFormula>
       dataDxfId="248"
    </tableColumn>
    <tableColumn id="4" name="Valor " totalsRowFunction="custom">
      <totalsRowFormula>TRUNC(SUM(D47:D54),2)</totalsRowFormula>
       dataDxfId="249"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80" name="Módulo562_5811681" displayName="Módulo562_5811681" ref="A112:D118" totalsRowCount="1">
  <autoFilter ref="A112:D117"/>
  <tableColumns count="4">
    <tableColumn id="1" name="5" totalsRowLabel="Total" dataDxfId="250"/>
    <tableColumn id="2" name="Insumos Diversos" dataDxfId="251"/>
    <tableColumn id="3" name="Comentário" dataDxfId="252"/>
    <tableColumn id="4" name="Valor" totalsRowFunction="custom">
      <totalsRowFormula>TRUNC(SUM(D113:D117),2)</totalsRowFormula>
       dataDxfId="253"
    </tableColumn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81" name="Módulo663_5910582" displayName="Módulo663_5910582" ref="A128:D135" totalsRowCount="1">
  <tableColumns count="4">
    <tableColumn id="1" name="6" totalsRowLabel="Total" dataDxfId="254"/>
    <tableColumn id="2" name="Custos Indiretos, Tributos e Lucro" dataDxfId="255"/>
    <tableColumn id="3" name="Percentual" dataDxfId="256"/>
    <tableColumn id="4" name="Valor" totalsRowFunction="custom">
      <totalsRowFormula>SUM(D129:D131)</totalsRowFormula>
       dataDxfId="257"
    </tableColumn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82" name="ResumoMódulo461_6211583" displayName="ResumoMódulo461_6211583" ref="A106:D109" totalsRowCount="1">
  <autoFilter ref="A106:D108"/>
  <tableColumns count="4">
    <tableColumn id="1" name="4" totalsRowLabel="Total" dataDxfId="258"/>
    <tableColumn id="2" name="Custo de Reposição do Profissional Ausente" dataDxfId="259"/>
    <tableColumn id="3" name="Comentário" totalsRowLabel="*Nota: Se o titular USUFRUIR do descanso intrajornada, o total é o somatório dos subitens 4.1 e 4.2" dataDxfId="260"/>
    <tableColumn id="4" name="Valor" totalsRowFunction="custom">
      <totalsRowFormula>TRUNC((SUM(D107:D108)),2)</totalsRowFormula>
       dataDxfId="261"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83" name="Submódulo4.260_5510784" displayName="Submódulo4.260_5510784" ref="A101:D103" totalsRowCount="1">
  <autoFilter ref="A101:D102"/>
  <tableColumns count="4">
    <tableColumn id="1" name="4.2" totalsRowLabel="Total" dataDxfId="262"/>
    <tableColumn id="2" name="Substituto na Intrajornada " dataDxfId="263"/>
    <tableColumn id="3" name="Comentário" dataDxfId="264"/>
    <tableColumn id="4" name="Valor" totalsRowFunction="custom">
      <totalsRowFormula>D102</totalsRowFormula>
       dataDxfId="265"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84" name="Submódulo2.154_6111185" displayName="Submódulo2.154_6111185" ref="A36:D39" totalsRowCount="1">
  <autoFilter ref="A36:D38"/>
  <tableColumns count="4">
    <tableColumn id="1" name="2.1" totalsRowLabel="Total" dataDxfId="266"/>
    <tableColumn id="2" name="13º (décimo terceiro) Salário, Férias e Adicional de Férias" dataDxfId="267"/>
    <tableColumn id="3" name="Percentual" dataDxfId="268"/>
    <tableColumn id="4" name="Valor" totalsRowFunction="custom">
      <totalsRowFormula>TRUNC((SUM(D37:D38)),2)</totalsRowFormula>
       dataDxfId="269"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85" name="Submódulo4.159_5411086" displayName="Submódulo4.159_5411086" ref="A91:D98" totalsRowCount="1">
  <autoFilter ref="A91:D97"/>
  <tableColumns count="4">
    <tableColumn id="1" name="4.1" totalsRowLabel="Total" dataDxfId="270"/>
    <tableColumn id="2" name="Substituto nas Ausências Legais" dataDxfId="271"/>
    <tableColumn id="3" name="Percentual" totalsRowFunction="custom">
      <totalsRowFormula>SUM(C92:C97)</totalsRowFormula>
       dataDxfId="272"
    </tableColumn>
    <tableColumn id="4" name="Valor" totalsRowFunction="custom">
      <totalsRowFormula>TRUNC((SUM(D92:D97)),2)</totalsRowFormula>
       dataDxfId="273"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86" name="Módulo153_5210987" displayName="Módulo153_5210987" ref="A24:D31" totalsRowCount="1">
  <autoFilter ref="A24:D30"/>
  <tableColumns count="4">
    <tableColumn id="1" name="1" totalsRowLabel="Total" dataDxfId="274"/>
    <tableColumn id="2" name="Composição da Remuneração" dataDxfId="275"/>
    <tableColumn id="3" name="Comentário" dataDxfId="276"/>
    <tableColumn id="4" name="Valor" totalsRowFunction="custom">
      <totalsRowFormula>TRUNC((SUM(D25:D30)),2)</totalsRowFormula>
       dataDxfId="277"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87" name="Submódulo2.356_5311288" displayName="Submódulo2.356_5311288" ref="A58:D65" totalsRowCount="1">
  <autoFilter ref="A58:D64"/>
  <tableColumns count="4">
    <tableColumn id="1" name="2.3" totalsRowLabel="Total" dataDxfId="278"/>
    <tableColumn id="2" name="Benefícios Mensais e Diários" dataDxfId="279"/>
    <tableColumn id="3" name="Comentário" dataDxfId="280"/>
    <tableColumn id="4" name="Valor" totalsRowFunction="custom">
      <totalsRowFormula>TRUNC((SUM(D59:D64)),2)</totalsRowFormula>
       dataDxfId="281"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88" name="Table452_5610689" displayName="Table452_5610689" ref="A16:D21" totalsRowShown="0">
  <tableColumns count="4">
    <tableColumn id="1" name="Item" dataDxfId="282"/>
    <tableColumn id="2" name="Descrição" dataDxfId="283"/>
    <tableColumn id="3" name="Comentário" dataDxfId="284"/>
    <tableColumn id="4" name="Valor" dataDxfId="285"/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89" name="ResumoPosto64_6410890" displayName="ResumoPosto64_6410890" ref="A139:D147" totalsRowShown="0">
  <autoFilter ref="A139:D147"/>
  <tableColumns count="4">
    <tableColumn id="1" name="Item" dataDxfId="286"/>
    <tableColumn id="2" name="Mão de obra vinculada à execução contratual" dataDxfId="287"/>
    <tableColumn id="3" name="-" dataDxfId="288"/>
    <tableColumn id="4" name="Valor" dataDxfId="289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290"/>
    <tableColumn id="2" name="PEÇA" dataDxfId="291"/>
    <tableColumn id="3" name="DESCRIÇÃO" dataDxfId="292"/>
    <tableColumn id="4" name="UNIDADE" dataDxfId="293"/>
    <tableColumn id="5" name="VALOR MÉDIO UNITÁRIO (R$)" dataDxfId="294"/>
    <tableColumn id="6" name="QUANTIDADE ANUAL" dataDxfId="295"/>
    <tableColumn id="7" name="VALOR ANUAL POR EMPREGADO (R$)" dataDxfId="296"/>
    <tableColumn id="8" name="VALOR MENSAL POR EMPREGADO (R$)" totalsRowFunction="sum" dataDxfId="297"/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7" name="Table39" displayName="Table39" ref="A2:G7" totalsRowCount="1">
  <tableColumns count="7">
    <tableColumn id="1" name="Item" totalsRowLabel="TOTAL" dataDxfId="298"/>
    <tableColumn id="2" name="Descrição" dataDxfId="299"/>
    <tableColumn id="7" name="Unidade" dataDxfId="300"/>
    <tableColumn id="3" name="Quantidade" dataDxfId="301"/>
    <tableColumn id="6" name="VIGÊNCIA (Mês)" dataDxfId="302"/>
    <tableColumn id="4" name="VALOR UNITÁRIO MÁXIMO ACEITÁVEL" dataDxfId="303"/>
    <tableColumn id="5" name="VALOR TOTAL MÁXIMO ACEITÁVEL" totalsRowFunction="custom">
      <totalsRowFormula>SUM(G3:G6)</totalsRowFormula>
       dataDxfId="304"
    </tableColumn>
  </tableColumns>
  <tableStyleInfo name="TableStyleMedium14"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22" t="s">
        <v>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ht="57" customHeight="1" spans="1:11">
      <c r="A2" s="123" t="s">
        <v>1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</row>
    <row r="3" ht="51" customHeight="1" spans="1:11">
      <c r="A3" s="123" t="s">
        <v>2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ht="54.75" customHeight="1" spans="1:11">
      <c r="A4" s="123" t="s">
        <v>3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</row>
    <row r="5" ht="67.5" customHeight="1" spans="1:11">
      <c r="A5" s="124" t="s">
        <v>4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</row>
    <row r="6" ht="84.75" customHeight="1" spans="1:11">
      <c r="A6" s="124" t="s">
        <v>5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</row>
    <row r="7" ht="49.5" customHeight="1" spans="1:11">
      <c r="A7" s="124" t="s">
        <v>6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</row>
    <row r="8" ht="38.25" customHeight="1" spans="1:11">
      <c r="A8" s="124" t="s">
        <v>7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</row>
    <row r="9" ht="39.75" customHeight="1" spans="1:11">
      <c r="A9" s="123" t="s">
        <v>8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</row>
    <row r="10" ht="41.25" customHeight="1" spans="1:11">
      <c r="A10" s="123" t="s">
        <v>9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</row>
    <row r="11" ht="41.25" customHeight="1" spans="1:11">
      <c r="A11" s="125" t="s">
        <v>10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</row>
    <row r="12" spans="1:11">
      <c r="A12" s="126" t="s">
        <v>11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</row>
    <row r="13" spans="1:11">
      <c r="A13" s="127" t="s">
        <v>12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</row>
    <row r="14" spans="1:11">
      <c r="A14" s="127" t="s">
        <v>13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08" t="s">
        <v>14</v>
      </c>
      <c r="B1" s="108"/>
      <c r="C1" s="108"/>
      <c r="D1" s="108"/>
      <c r="F1" s="55" t="s">
        <v>15</v>
      </c>
      <c r="G1" s="55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</row>
    <row r="2" spans="1:21">
      <c r="A2" s="56" t="s">
        <v>16</v>
      </c>
      <c r="B2" t="s">
        <v>17</v>
      </c>
      <c r="C2" s="56" t="s">
        <v>18</v>
      </c>
      <c r="D2" s="56" t="s">
        <v>19</v>
      </c>
      <c r="F2" s="61" t="s">
        <v>17</v>
      </c>
      <c r="G2" s="61" t="s">
        <v>19</v>
      </c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</row>
    <row r="3" spans="1:21">
      <c r="A3" s="56">
        <v>1</v>
      </c>
      <c r="B3" t="s">
        <v>20</v>
      </c>
      <c r="C3" s="56"/>
      <c r="D3" s="56" t="s">
        <v>21</v>
      </c>
      <c r="F3" t="s">
        <v>22</v>
      </c>
      <c r="G3" s="109">
        <v>0</v>
      </c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</row>
    <row r="4" spans="1:21">
      <c r="A4" s="56">
        <v>2</v>
      </c>
      <c r="B4" t="s">
        <v>23</v>
      </c>
      <c r="C4" s="56"/>
      <c r="D4" s="56" t="s">
        <v>24</v>
      </c>
      <c r="F4" t="s">
        <v>25</v>
      </c>
      <c r="G4" s="109">
        <v>12</v>
      </c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</row>
    <row r="5" spans="1:21">
      <c r="A5" s="56">
        <v>3</v>
      </c>
      <c r="B5" t="s">
        <v>26</v>
      </c>
      <c r="C5" s="56" t="s">
        <v>27</v>
      </c>
      <c r="D5" s="110">
        <v>998</v>
      </c>
      <c r="F5" t="s">
        <v>28</v>
      </c>
      <c r="G5" s="57">
        <v>22</v>
      </c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</row>
    <row r="6" spans="1:21">
      <c r="A6" s="56">
        <v>4</v>
      </c>
      <c r="B6" t="s">
        <v>29</v>
      </c>
      <c r="C6" s="56" t="s">
        <v>30</v>
      </c>
      <c r="D6" s="56" t="s">
        <v>31</v>
      </c>
      <c r="F6" t="s">
        <v>32</v>
      </c>
      <c r="G6" s="111">
        <v>0.03</v>
      </c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</row>
    <row r="7" spans="1:21">
      <c r="A7" s="56">
        <v>5</v>
      </c>
      <c r="B7" t="s">
        <v>33</v>
      </c>
      <c r="C7" s="56"/>
      <c r="D7" s="56" t="s">
        <v>34</v>
      </c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</row>
    <row r="8" spans="6:21">
      <c r="F8" s="55" t="s">
        <v>35</v>
      </c>
      <c r="G8" s="55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</row>
    <row r="9" spans="1:21">
      <c r="A9" s="39" t="s">
        <v>36</v>
      </c>
      <c r="B9" s="39"/>
      <c r="C9" s="39"/>
      <c r="D9" s="39"/>
      <c r="F9" s="61" t="s">
        <v>37</v>
      </c>
      <c r="G9" s="61" t="s">
        <v>38</v>
      </c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</row>
    <row r="10" spans="1:21">
      <c r="A10" s="56" t="s">
        <v>39</v>
      </c>
      <c r="B10" s="61" t="s">
        <v>40</v>
      </c>
      <c r="C10" s="56" t="s">
        <v>18</v>
      </c>
      <c r="D10" s="56" t="s">
        <v>19</v>
      </c>
      <c r="F10" t="s">
        <v>41</v>
      </c>
      <c r="G10" s="62">
        <v>0.4337</v>
      </c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</row>
    <row r="11" spans="1:21">
      <c r="A11" s="56" t="s">
        <v>42</v>
      </c>
      <c r="B11" t="s">
        <v>43</v>
      </c>
      <c r="C11" s="56"/>
      <c r="D11" s="64">
        <f>Salário_Normativo_da_Categoria_Profissional</f>
        <v>998</v>
      </c>
      <c r="F11" t="s">
        <v>44</v>
      </c>
      <c r="G11" s="62">
        <v>0.4337</v>
      </c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</row>
    <row r="12" spans="1:21">
      <c r="A12" s="56" t="s">
        <v>45</v>
      </c>
      <c r="B12" t="s">
        <v>46</v>
      </c>
      <c r="C12" s="56"/>
      <c r="D12" s="64"/>
      <c r="F12" t="s">
        <v>47</v>
      </c>
      <c r="G12" s="62">
        <v>0.0218</v>
      </c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</row>
    <row r="13" spans="1:21">
      <c r="A13" s="56" t="s">
        <v>48</v>
      </c>
      <c r="B13" t="s">
        <v>49</v>
      </c>
      <c r="C13" s="56"/>
      <c r="D13" s="64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</row>
    <row r="14" spans="1:21">
      <c r="A14" s="56" t="s">
        <v>50</v>
      </c>
      <c r="B14" t="s">
        <v>51</v>
      </c>
      <c r="C14" s="56"/>
      <c r="D14" s="64"/>
      <c r="F14" s="55" t="s">
        <v>52</v>
      </c>
      <c r="G14" s="55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</row>
    <row r="15" spans="1:21">
      <c r="A15" s="56" t="s">
        <v>53</v>
      </c>
      <c r="B15" t="s">
        <v>54</v>
      </c>
      <c r="C15" s="56"/>
      <c r="D15" s="64"/>
      <c r="F15" s="112" t="s">
        <v>17</v>
      </c>
      <c r="G15" s="112" t="s">
        <v>38</v>
      </c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</row>
    <row r="16" spans="1:21">
      <c r="A16" s="56" t="s">
        <v>55</v>
      </c>
      <c r="B16" t="s">
        <v>56</v>
      </c>
      <c r="C16" s="56"/>
      <c r="D16" s="64"/>
      <c r="F16" s="67" t="s">
        <v>57</v>
      </c>
      <c r="G16" s="113">
        <v>0.0471</v>
      </c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</row>
    <row r="17" spans="1:21">
      <c r="A17" s="56" t="s">
        <v>58</v>
      </c>
      <c r="C17" s="56"/>
      <c r="D17" s="64">
        <f>SUBTOTAL(109,Módulo1[Valor])</f>
        <v>998</v>
      </c>
      <c r="F17" s="67" t="s">
        <v>59</v>
      </c>
      <c r="G17" s="113">
        <v>0.0467</v>
      </c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</row>
    <row r="18" spans="6:21">
      <c r="F18" s="67" t="s">
        <v>60</v>
      </c>
      <c r="G18" s="114">
        <v>0.0165</v>
      </c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</row>
    <row r="19" spans="1:21">
      <c r="A19" s="65" t="s">
        <v>61</v>
      </c>
      <c r="B19" s="65"/>
      <c r="C19" s="65"/>
      <c r="D19" s="65"/>
      <c r="F19" s="67" t="s">
        <v>62</v>
      </c>
      <c r="G19" s="114">
        <v>0.076</v>
      </c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</row>
    <row r="20" spans="1:21">
      <c r="A20" s="55" t="s">
        <v>63</v>
      </c>
      <c r="B20" s="55"/>
      <c r="C20" s="55"/>
      <c r="D20" s="55"/>
      <c r="F20" s="67" t="s">
        <v>64</v>
      </c>
      <c r="G20" s="114">
        <v>0.05</v>
      </c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</row>
    <row r="21" spans="1:21">
      <c r="A21" s="56" t="s">
        <v>65</v>
      </c>
      <c r="B21" s="61" t="s">
        <v>66</v>
      </c>
      <c r="C21" s="56" t="s">
        <v>18</v>
      </c>
      <c r="D21" s="56" t="s">
        <v>19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</row>
    <row r="22" spans="1:21">
      <c r="A22" s="56" t="s">
        <v>42</v>
      </c>
      <c r="B22" t="s">
        <v>67</v>
      </c>
      <c r="D22" s="64">
        <f>Módulo1[[#Totals],[Valor]]/12</f>
        <v>83.1666666666667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</row>
    <row r="23" spans="1:21">
      <c r="A23" s="56" t="s">
        <v>45</v>
      </c>
      <c r="B23" t="s">
        <v>68</v>
      </c>
      <c r="D23" s="64">
        <f>(Módulo1[[#Totals],[Valor]]/12)*(1+(1/3))</f>
        <v>110.888888888889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</row>
    <row r="24" spans="1:21">
      <c r="A24" s="56" t="s">
        <v>58</v>
      </c>
      <c r="D24" s="64">
        <f>SUBTOTAL(109,Submódulo2.1[Valor])</f>
        <v>194.055555555556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</row>
    <row r="25" spans="1:21">
      <c r="A25" s="56"/>
      <c r="D25" s="64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</row>
    <row r="26" spans="1:21">
      <c r="A26" s="115" t="s">
        <v>69</v>
      </c>
      <c r="B26" s="115"/>
      <c r="C26" s="115"/>
      <c r="D26" s="115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</row>
    <row r="27" spans="1:21">
      <c r="A27" s="115" t="s">
        <v>16</v>
      </c>
      <c r="B27" s="115" t="s">
        <v>70</v>
      </c>
      <c r="C27" s="115" t="s">
        <v>71</v>
      </c>
      <c r="D27" s="116" t="s">
        <v>72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</row>
    <row r="28" ht="30" spans="1:21">
      <c r="A28" s="76" t="s">
        <v>42</v>
      </c>
      <c r="B28" s="117" t="s">
        <v>73</v>
      </c>
      <c r="C28" s="118" t="s">
        <v>74</v>
      </c>
      <c r="D28" s="117" t="s">
        <v>75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</row>
    <row r="29" ht="30" spans="1:21">
      <c r="A29" s="76" t="s">
        <v>45</v>
      </c>
      <c r="B29" s="119" t="s">
        <v>68</v>
      </c>
      <c r="C29" s="118" t="s">
        <v>74</v>
      </c>
      <c r="D29" s="117" t="s">
        <v>76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</row>
    <row r="30" spans="1:21">
      <c r="A30" s="56"/>
      <c r="B30" s="56"/>
      <c r="C30" s="88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</row>
    <row r="31" spans="1:4">
      <c r="A31" s="55" t="s">
        <v>77</v>
      </c>
      <c r="B31" s="55"/>
      <c r="C31" s="55"/>
      <c r="D31" s="55"/>
    </row>
    <row r="32" spans="1:4">
      <c r="A32" s="56" t="s">
        <v>78</v>
      </c>
      <c r="B32" s="61" t="s">
        <v>79</v>
      </c>
      <c r="C32" s="56" t="s">
        <v>38</v>
      </c>
      <c r="D32" s="56" t="s">
        <v>80</v>
      </c>
    </row>
    <row r="33" spans="1:4">
      <c r="A33" s="56" t="s">
        <v>42</v>
      </c>
      <c r="B33" t="s">
        <v>81</v>
      </c>
      <c r="C33" s="66">
        <v>0.2</v>
      </c>
      <c r="D33" s="64">
        <f>C33*(Módulo1[[#Totals],[Valor]]+Submódulo2.1[[#Totals],[Valor]])</f>
        <v>238.411111111111</v>
      </c>
    </row>
    <row r="34" spans="1:4">
      <c r="A34" s="56" t="s">
        <v>45</v>
      </c>
      <c r="B34" t="s">
        <v>82</v>
      </c>
      <c r="C34" s="66">
        <v>0.025</v>
      </c>
      <c r="D34" s="64">
        <f>C34*(Módulo1[[#Totals],[Valor]]+Submódulo2.1[[#Totals],[Valor]])</f>
        <v>29.8013888888889</v>
      </c>
    </row>
    <row r="35" spans="1:4">
      <c r="A35" s="56" t="s">
        <v>48</v>
      </c>
      <c r="B35" t="s">
        <v>83</v>
      </c>
      <c r="C35" s="66">
        <f>Servente!G6</f>
        <v>0.03</v>
      </c>
      <c r="D35" s="64">
        <f>C35*(Módulo1[[#Totals],[Valor]]+Submódulo2.1[[#Totals],[Valor]])</f>
        <v>35.7616666666667</v>
      </c>
    </row>
    <row r="36" spans="1:4">
      <c r="A36" s="56" t="s">
        <v>50</v>
      </c>
      <c r="B36" t="s">
        <v>84</v>
      </c>
      <c r="C36" s="66">
        <v>0.015</v>
      </c>
      <c r="D36" s="64">
        <f>C36*(Módulo1[[#Totals],[Valor]]+Submódulo2.1[[#Totals],[Valor]])</f>
        <v>17.8808333333333</v>
      </c>
    </row>
    <row r="37" spans="1:4">
      <c r="A37" s="56" t="s">
        <v>53</v>
      </c>
      <c r="B37" t="s">
        <v>85</v>
      </c>
      <c r="C37" s="66">
        <v>0.01</v>
      </c>
      <c r="D37" s="64">
        <f>C37*(Módulo1[[#Totals],[Valor]]+Submódulo2.1[[#Totals],[Valor]])</f>
        <v>11.9205555555556</v>
      </c>
    </row>
    <row r="38" spans="1:4">
      <c r="A38" s="56" t="s">
        <v>55</v>
      </c>
      <c r="B38" t="s">
        <v>86</v>
      </c>
      <c r="C38" s="66">
        <v>0.006</v>
      </c>
      <c r="D38" s="64">
        <f>C38*(Módulo1[[#Totals],[Valor]]+Submódulo2.1[[#Totals],[Valor]])</f>
        <v>7.15233333333333</v>
      </c>
    </row>
    <row r="39" spans="1:4">
      <c r="A39" s="56" t="s">
        <v>87</v>
      </c>
      <c r="B39" t="s">
        <v>88</v>
      </c>
      <c r="C39" s="66">
        <v>0.002</v>
      </c>
      <c r="D39" s="64">
        <f>C39*(Módulo1[[#Totals],[Valor]]+Submódulo2.1[[#Totals],[Valor]])</f>
        <v>2.38411111111111</v>
      </c>
    </row>
    <row r="40" spans="1:4">
      <c r="A40" s="56" t="s">
        <v>89</v>
      </c>
      <c r="B40" t="s">
        <v>90</v>
      </c>
      <c r="C40" s="66">
        <v>0.08</v>
      </c>
      <c r="D40" s="64">
        <f>C40*(Módulo1[[#Totals],[Valor]]+Submódulo2.1[[#Totals],[Valor]])</f>
        <v>95.3644444444445</v>
      </c>
    </row>
    <row r="41" spans="1:4">
      <c r="A41" s="56" t="s">
        <v>58</v>
      </c>
      <c r="C41" s="73">
        <f>SUBTOTAL(109,Submódulo2.2[Percentual])</f>
        <v>0.368</v>
      </c>
      <c r="D41" s="64">
        <f>SUBTOTAL(109,Submódulo2.2[Valor ])</f>
        <v>438.676444444444</v>
      </c>
    </row>
    <row r="42" spans="1:4">
      <c r="A42" s="56"/>
      <c r="C42" s="73"/>
      <c r="D42" s="64"/>
    </row>
    <row r="43" spans="1:4">
      <c r="A43" s="115" t="s">
        <v>91</v>
      </c>
      <c r="B43" s="115"/>
      <c r="C43" s="115"/>
      <c r="D43" s="115"/>
    </row>
    <row r="44" spans="1:4">
      <c r="A44" s="115" t="s">
        <v>16</v>
      </c>
      <c r="B44" s="115" t="s">
        <v>70</v>
      </c>
      <c r="C44" s="115" t="s">
        <v>71</v>
      </c>
      <c r="D44" s="116" t="s">
        <v>72</v>
      </c>
    </row>
    <row r="45" ht="30" spans="1:4">
      <c r="A45" s="76" t="s">
        <v>92</v>
      </c>
      <c r="B45" s="117" t="s">
        <v>79</v>
      </c>
      <c r="C45" s="117" t="s">
        <v>93</v>
      </c>
      <c r="D45" s="117" t="s">
        <v>94</v>
      </c>
    </row>
    <row r="47" spans="1:4">
      <c r="A47" s="55" t="s">
        <v>95</v>
      </c>
      <c r="B47" s="55"/>
      <c r="C47" s="55"/>
      <c r="D47" s="55"/>
    </row>
    <row r="48" spans="1:4">
      <c r="A48" s="56" t="s">
        <v>96</v>
      </c>
      <c r="B48" s="61" t="s">
        <v>97</v>
      </c>
      <c r="C48" s="56" t="s">
        <v>18</v>
      </c>
      <c r="D48" s="56" t="s">
        <v>19</v>
      </c>
    </row>
    <row r="49" spans="1:4">
      <c r="A49" s="56" t="s">
        <v>42</v>
      </c>
      <c r="B49" t="s">
        <v>98</v>
      </c>
      <c r="D49" s="64">
        <f>IF(G3=0,0,(Servente!G3*2*Servente!G5)-(6%*_1A))</f>
        <v>0</v>
      </c>
    </row>
    <row r="50" spans="1:4">
      <c r="A50" s="56" t="s">
        <v>45</v>
      </c>
      <c r="B50" t="s">
        <v>99</v>
      </c>
      <c r="D50" s="64">
        <f>(Servente!G4*Servente!G5)*80%</f>
        <v>211.2</v>
      </c>
    </row>
    <row r="51" spans="1:4">
      <c r="A51" s="56" t="s">
        <v>48</v>
      </c>
      <c r="B51" t="s">
        <v>100</v>
      </c>
      <c r="D51" s="64"/>
    </row>
    <row r="52" spans="1:4">
      <c r="A52" s="56" t="s">
        <v>50</v>
      </c>
      <c r="B52" t="s">
        <v>56</v>
      </c>
      <c r="D52" s="64"/>
    </row>
    <row r="53" spans="1:4">
      <c r="A53" s="56" t="s">
        <v>58</v>
      </c>
      <c r="D53" s="64">
        <v>211.2</v>
      </c>
    </row>
    <row r="54" spans="1:4">
      <c r="A54" s="56"/>
      <c r="D54" s="64"/>
    </row>
    <row r="55" spans="1:4">
      <c r="A55" s="115" t="s">
        <v>101</v>
      </c>
      <c r="B55" s="115"/>
      <c r="C55" s="115"/>
      <c r="D55" s="115"/>
    </row>
    <row r="56" spans="1:4">
      <c r="A56" s="115" t="s">
        <v>16</v>
      </c>
      <c r="B56" s="115" t="s">
        <v>70</v>
      </c>
      <c r="C56" s="115" t="s">
        <v>71</v>
      </c>
      <c r="D56" s="115" t="s">
        <v>72</v>
      </c>
    </row>
    <row r="57" ht="45" spans="1:4">
      <c r="A57" s="76" t="s">
        <v>42</v>
      </c>
      <c r="B57" s="117" t="s">
        <v>98</v>
      </c>
      <c r="C57" s="118" t="s">
        <v>102</v>
      </c>
      <c r="D57" s="118" t="s">
        <v>103</v>
      </c>
    </row>
    <row r="58" ht="30" spans="1:4">
      <c r="A58" s="76" t="s">
        <v>45</v>
      </c>
      <c r="B58" s="119" t="s">
        <v>99</v>
      </c>
      <c r="C58" s="118" t="s">
        <v>102</v>
      </c>
      <c r="D58" s="118" t="s">
        <v>104</v>
      </c>
    </row>
    <row r="59" ht="19.5" customHeight="1" spans="1:4">
      <c r="A59" s="56"/>
      <c r="D59" s="64"/>
    </row>
    <row r="60" spans="1:4">
      <c r="A60" s="55" t="s">
        <v>105</v>
      </c>
      <c r="B60" s="55"/>
      <c r="C60" s="55"/>
      <c r="D60" s="55"/>
    </row>
    <row r="61" spans="1:4">
      <c r="A61" s="56" t="s">
        <v>106</v>
      </c>
      <c r="B61" s="61" t="s">
        <v>107</v>
      </c>
      <c r="C61" s="56" t="s">
        <v>18</v>
      </c>
      <c r="D61" s="56" t="s">
        <v>19</v>
      </c>
    </row>
    <row r="62" spans="1:4">
      <c r="A62" s="56" t="s">
        <v>65</v>
      </c>
      <c r="B62" t="s">
        <v>66</v>
      </c>
      <c r="C62" s="56"/>
      <c r="D62" s="64">
        <f>Submódulo2.1[[#Totals],[Valor]]</f>
        <v>194.055555555556</v>
      </c>
    </row>
    <row r="63" spans="1:4">
      <c r="A63" s="56" t="s">
        <v>78</v>
      </c>
      <c r="B63" t="s">
        <v>79</v>
      </c>
      <c r="C63" s="56"/>
      <c r="D63" s="64">
        <f>Submódulo2.2[[#Totals],[Valor ]]</f>
        <v>438.676444444444</v>
      </c>
    </row>
    <row r="64" spans="1:4">
      <c r="A64" s="56" t="s">
        <v>96</v>
      </c>
      <c r="B64" t="s">
        <v>97</v>
      </c>
      <c r="C64" s="56"/>
      <c r="D64" s="64">
        <f>Submódulo2.3[[#Totals],[Valor]]</f>
        <v>211.2</v>
      </c>
    </row>
    <row r="65" spans="1:4">
      <c r="A65" s="56" t="s">
        <v>58</v>
      </c>
      <c r="C65" s="56"/>
      <c r="D65" s="64">
        <v>843.932</v>
      </c>
    </row>
    <row r="67" spans="1:4">
      <c r="A67" s="39" t="s">
        <v>108</v>
      </c>
      <c r="B67" s="39"/>
      <c r="C67" s="39"/>
      <c r="D67" s="39"/>
    </row>
    <row r="68" spans="1:4">
      <c r="A68" s="56" t="s">
        <v>109</v>
      </c>
      <c r="B68" s="61" t="s">
        <v>110</v>
      </c>
      <c r="C68" s="56" t="s">
        <v>18</v>
      </c>
      <c r="D68" s="56" t="s">
        <v>19</v>
      </c>
    </row>
    <row r="69" spans="1:4">
      <c r="A69" s="56" t="s">
        <v>42</v>
      </c>
      <c r="B69" t="s">
        <v>111</v>
      </c>
      <c r="D69" s="64">
        <f>((Módulo1[[#Totals],[Valor]]+D62+D64)/12)*Servente!G10</f>
        <v>50.715994537037</v>
      </c>
    </row>
    <row r="70" spans="1:4">
      <c r="A70" s="56" t="s">
        <v>45</v>
      </c>
      <c r="B70" t="s">
        <v>112</v>
      </c>
      <c r="D70" s="64">
        <f>(D40/12)*Servente!G10</f>
        <v>3.44662996296296</v>
      </c>
    </row>
    <row r="71" spans="1:4">
      <c r="A71" s="56" t="s">
        <v>48</v>
      </c>
      <c r="B71" t="s">
        <v>113</v>
      </c>
      <c r="D71" s="64">
        <f>D40*50%*Servente!G10</f>
        <v>20.6797797777778</v>
      </c>
    </row>
    <row r="72" spans="1:4">
      <c r="A72" s="56" t="s">
        <v>50</v>
      </c>
      <c r="B72" t="s">
        <v>114</v>
      </c>
      <c r="D72" s="64">
        <f>((Módulo1[[#Totals],[Valor]]+ResumoMódulo2[[#Totals],[Valor]])/12)*Servente!G11</f>
        <v>66.5704923666667</v>
      </c>
    </row>
    <row r="73" spans="1:4">
      <c r="A73" s="56" t="s">
        <v>53</v>
      </c>
      <c r="B73" t="s">
        <v>115</v>
      </c>
      <c r="D73" s="64">
        <f>D40*50%*Servente!G11</f>
        <v>20.6797797777778</v>
      </c>
    </row>
    <row r="74" spans="1:4">
      <c r="A74" s="56" t="s">
        <v>55</v>
      </c>
      <c r="B74" t="s">
        <v>116</v>
      </c>
      <c r="D74" s="64">
        <f>-D62*Servente!G12</f>
        <v>-4.23041111111111</v>
      </c>
    </row>
    <row r="75" spans="1:4">
      <c r="A75" s="56" t="s">
        <v>58</v>
      </c>
      <c r="D75" s="64">
        <f>SUBTOTAL(109,Módulo3[Valor])</f>
        <v>157.862265311111</v>
      </c>
    </row>
    <row r="76" spans="1:4">
      <c r="A76" s="56"/>
      <c r="D76" s="64"/>
    </row>
    <row r="77" spans="1:4">
      <c r="A77" s="115" t="s">
        <v>117</v>
      </c>
      <c r="B77" s="115"/>
      <c r="C77" s="115"/>
      <c r="D77" s="115"/>
    </row>
    <row r="78" spans="1:4">
      <c r="A78" s="115" t="s">
        <v>16</v>
      </c>
      <c r="B78" s="115" t="s">
        <v>70</v>
      </c>
      <c r="C78" s="115" t="s">
        <v>71</v>
      </c>
      <c r="D78" s="115" t="s">
        <v>72</v>
      </c>
    </row>
    <row r="79" ht="60" spans="1:4">
      <c r="A79" s="76" t="s">
        <v>42</v>
      </c>
      <c r="B79" s="117" t="s">
        <v>111</v>
      </c>
      <c r="C79" s="118" t="s">
        <v>118</v>
      </c>
      <c r="D79" s="118" t="s">
        <v>119</v>
      </c>
    </row>
    <row r="80" ht="60" spans="1:4">
      <c r="A80" s="76" t="s">
        <v>45</v>
      </c>
      <c r="B80" s="119" t="s">
        <v>112</v>
      </c>
      <c r="C80" s="118" t="s">
        <v>120</v>
      </c>
      <c r="D80" s="118" t="s">
        <v>119</v>
      </c>
    </row>
    <row r="81" ht="75" spans="1:4">
      <c r="A81" s="76" t="s">
        <v>48</v>
      </c>
      <c r="B81" s="119" t="s">
        <v>113</v>
      </c>
      <c r="C81" s="118" t="s">
        <v>120</v>
      </c>
      <c r="D81" s="120" t="s">
        <v>121</v>
      </c>
    </row>
    <row r="82" ht="60" spans="1:4">
      <c r="A82" s="76" t="s">
        <v>50</v>
      </c>
      <c r="B82" s="77" t="s">
        <v>114</v>
      </c>
      <c r="C82" s="118" t="s">
        <v>122</v>
      </c>
      <c r="D82" s="120" t="s">
        <v>123</v>
      </c>
    </row>
    <row r="83" ht="75" spans="1:4">
      <c r="A83" s="76" t="s">
        <v>53</v>
      </c>
      <c r="B83" s="77" t="s">
        <v>115</v>
      </c>
      <c r="C83" s="118" t="s">
        <v>120</v>
      </c>
      <c r="D83" s="120" t="s">
        <v>124</v>
      </c>
    </row>
    <row r="84" ht="60" spans="1:4">
      <c r="A84" s="76" t="s">
        <v>55</v>
      </c>
      <c r="B84" s="77" t="s">
        <v>116</v>
      </c>
      <c r="C84" s="118" t="s">
        <v>125</v>
      </c>
      <c r="D84" s="120" t="s">
        <v>126</v>
      </c>
    </row>
    <row r="86" customHeight="1" spans="1:4">
      <c r="A86" s="86" t="s">
        <v>127</v>
      </c>
      <c r="B86" s="86"/>
      <c r="C86" s="86"/>
      <c r="D86" s="86"/>
    </row>
    <row r="87" spans="1:4">
      <c r="A87" s="55" t="s">
        <v>128</v>
      </c>
      <c r="B87" s="55"/>
      <c r="C87" s="55"/>
      <c r="D87" s="55"/>
    </row>
    <row r="88" spans="1:4">
      <c r="A88" s="56" t="s">
        <v>129</v>
      </c>
      <c r="B88" s="61" t="s">
        <v>130</v>
      </c>
      <c r="C88" s="56" t="s">
        <v>131</v>
      </c>
      <c r="D88" s="56" t="s">
        <v>19</v>
      </c>
    </row>
    <row r="89" spans="1:4">
      <c r="A89" s="56" t="s">
        <v>42</v>
      </c>
      <c r="B89" t="s">
        <v>132</v>
      </c>
      <c r="C89" s="56">
        <v>20.71</v>
      </c>
      <c r="D89" s="64">
        <f>(((Módulo1[[#Totals],[Valor]]+ResumoMódulo2[[#Totals],[Valor]]+Módulo3[[#Totals],[Valor]])/30)*C89)/12</f>
        <v>115.043720096092</v>
      </c>
    </row>
    <row r="90" spans="1:4">
      <c r="A90" s="56" t="s">
        <v>45</v>
      </c>
      <c r="B90" t="s">
        <v>133</v>
      </c>
      <c r="C90" s="56">
        <v>1.4181</v>
      </c>
      <c r="D90" s="64">
        <f>(((Módulo1[[#Totals],[Valor]]+ResumoMódulo2[[#Totals],[Valor]]+Módulo3[[#Totals],[Valor]])/30)*C90)/12</f>
        <v>7.87752291010468</v>
      </c>
    </row>
    <row r="91" spans="1:4">
      <c r="A91" s="56" t="s">
        <v>48</v>
      </c>
      <c r="B91" t="s">
        <v>134</v>
      </c>
      <c r="C91" s="56">
        <v>0.1898</v>
      </c>
      <c r="D91" s="64">
        <f>(((Módulo1[[#Totals],[Valor]]+ResumoMódulo2[[#Totals],[Valor]]+Módulo3[[#Totals],[Valor]])/30)*C91)/12</f>
        <v>1.05433597654458</v>
      </c>
    </row>
    <row r="92" spans="1:4">
      <c r="A92" s="56" t="s">
        <v>50</v>
      </c>
      <c r="B92" t="s">
        <v>135</v>
      </c>
      <c r="C92" s="56">
        <v>0.9545</v>
      </c>
      <c r="D92" s="64">
        <f>(((Módulo1[[#Totals],[Valor]]+ResumoMódulo2[[#Totals],[Valor]]+Módulo3[[#Totals],[Valor]])/30)*C92)/12</f>
        <v>5.3022322951096</v>
      </c>
    </row>
    <row r="93" spans="1:4">
      <c r="A93" s="56" t="s">
        <v>53</v>
      </c>
      <c r="B93" t="s">
        <v>136</v>
      </c>
      <c r="C93" s="56">
        <v>2.4723</v>
      </c>
      <c r="D93" s="64">
        <f>(((Módulo1[[#Totals],[Valor]]+ResumoMódulo2[[#Totals],[Valor]]+Módulo3[[#Totals],[Valor]])/30)*C93)/12</f>
        <v>13.7335871170241</v>
      </c>
    </row>
    <row r="94" spans="1:4">
      <c r="A94" s="56" t="s">
        <v>55</v>
      </c>
      <c r="B94" t="s">
        <v>137</v>
      </c>
      <c r="C94" s="56">
        <v>3.4521</v>
      </c>
      <c r="D94" s="64">
        <f>(((Módulo1[[#Totals],[Valor]]+ResumoMódulo2[[#Totals],[Valor]]+Módulo3[[#Totals],[Valor]])/30)*C94)/12</f>
        <v>19.1763605091125</v>
      </c>
    </row>
    <row r="95" spans="1:4">
      <c r="A95" s="56" t="s">
        <v>58</v>
      </c>
      <c r="C95" s="56">
        <f>SUBTOTAL(109,Submódulo4.1[Dias de ausência])</f>
        <v>29.1968</v>
      </c>
      <c r="D95" s="64">
        <f>SUBTOTAL(109,Submódulo4.1[Valor])</f>
        <v>162.187758903987</v>
      </c>
    </row>
    <row r="96" spans="1:4">
      <c r="A96" s="56"/>
      <c r="C96" s="56"/>
      <c r="D96" s="64"/>
    </row>
    <row r="97" spans="1:4">
      <c r="A97" s="115" t="s">
        <v>138</v>
      </c>
      <c r="B97" s="115"/>
      <c r="C97" s="115"/>
      <c r="D97" s="115"/>
    </row>
    <row r="98" spans="1:4">
      <c r="A98" s="115" t="s">
        <v>16</v>
      </c>
      <c r="B98" s="115" t="s">
        <v>70</v>
      </c>
      <c r="C98" s="115" t="s">
        <v>71</v>
      </c>
      <c r="D98" s="115" t="s">
        <v>72</v>
      </c>
    </row>
    <row r="99" spans="1:4">
      <c r="A99" s="76" t="s">
        <v>139</v>
      </c>
      <c r="B99" s="117" t="s">
        <v>140</v>
      </c>
      <c r="C99" s="118"/>
      <c r="D99" s="118"/>
    </row>
    <row r="100" ht="45" spans="1:4">
      <c r="A100" s="76" t="s">
        <v>139</v>
      </c>
      <c r="B100" s="119" t="s">
        <v>141</v>
      </c>
      <c r="C100" s="118" t="s">
        <v>142</v>
      </c>
      <c r="D100" s="118" t="s">
        <v>143</v>
      </c>
    </row>
    <row r="101" spans="1:4">
      <c r="A101" s="56"/>
      <c r="C101" s="56"/>
      <c r="D101" s="64"/>
    </row>
    <row r="102" spans="1:4">
      <c r="A102" s="55" t="s">
        <v>144</v>
      </c>
      <c r="B102" s="55"/>
      <c r="C102" s="55"/>
      <c r="D102" s="55"/>
    </row>
    <row r="103" spans="1:4">
      <c r="A103" s="56" t="s">
        <v>145</v>
      </c>
      <c r="B103" s="61" t="s">
        <v>146</v>
      </c>
      <c r="C103" s="56" t="s">
        <v>18</v>
      </c>
      <c r="D103" s="56" t="s">
        <v>19</v>
      </c>
    </row>
    <row r="104" spans="1:4">
      <c r="A104" s="56" t="s">
        <v>42</v>
      </c>
      <c r="B104" t="s">
        <v>147</v>
      </c>
      <c r="C104" s="56"/>
      <c r="D104" s="64"/>
    </row>
    <row r="105" spans="1:4">
      <c r="A105" s="56" t="s">
        <v>58</v>
      </c>
      <c r="C105" s="56"/>
      <c r="D105" s="64">
        <f>SUBTOTAL(109,Submódulo4.2[Valor])</f>
        <v>0</v>
      </c>
    </row>
    <row r="107" spans="1:4">
      <c r="A107" s="55" t="s">
        <v>148</v>
      </c>
      <c r="B107" s="55"/>
      <c r="C107" s="55"/>
      <c r="D107" s="55"/>
    </row>
    <row r="108" spans="1:4">
      <c r="A108" s="56" t="s">
        <v>149</v>
      </c>
      <c r="B108" s="61" t="s">
        <v>150</v>
      </c>
      <c r="C108" s="56" t="s">
        <v>18</v>
      </c>
      <c r="D108" s="56" t="s">
        <v>19</v>
      </c>
    </row>
    <row r="109" spans="1:4">
      <c r="A109" s="56" t="s">
        <v>129</v>
      </c>
      <c r="B109" t="s">
        <v>130</v>
      </c>
      <c r="D109" s="64">
        <f>Submódulo4.1[[#Totals],[Valor]]</f>
        <v>162.187758903987</v>
      </c>
    </row>
    <row r="110" spans="1:4">
      <c r="A110" s="56" t="s">
        <v>145</v>
      </c>
      <c r="B110" t="s">
        <v>151</v>
      </c>
      <c r="D110" s="64">
        <f>Submódulo4.2[[#Totals],[Valor]]</f>
        <v>0</v>
      </c>
    </row>
    <row r="111" spans="1:4">
      <c r="A111" s="56" t="s">
        <v>58</v>
      </c>
      <c r="D111" s="64">
        <f>SUBTOTAL(109,ResumoMódulo4[Valor])</f>
        <v>162.187758903987</v>
      </c>
    </row>
    <row r="113" spans="1:4">
      <c r="A113" s="39" t="s">
        <v>152</v>
      </c>
      <c r="B113" s="39"/>
      <c r="C113" s="39"/>
      <c r="D113" s="39"/>
    </row>
    <row r="114" spans="1:4">
      <c r="A114" s="56" t="s">
        <v>153</v>
      </c>
      <c r="B114" s="61" t="s">
        <v>154</v>
      </c>
      <c r="C114" s="56" t="s">
        <v>18</v>
      </c>
      <c r="D114" s="56" t="s">
        <v>19</v>
      </c>
    </row>
    <row r="115" spans="1:4">
      <c r="A115" s="56" t="s">
        <v>42</v>
      </c>
      <c r="B115" t="s">
        <v>155</v>
      </c>
      <c r="D115" s="64" t="e">
        <f>#REF!</f>
        <v>#REF!</v>
      </c>
    </row>
    <row r="116" spans="1:4">
      <c r="A116" s="56" t="s">
        <v>45</v>
      </c>
      <c r="B116" t="s">
        <v>156</v>
      </c>
      <c r="D116" s="64" t="e">
        <f>#REF!/#REF!</f>
        <v>#REF!</v>
      </c>
    </row>
    <row r="117" spans="1:4">
      <c r="A117" s="56" t="s">
        <v>48</v>
      </c>
      <c r="B117" t="s">
        <v>157</v>
      </c>
      <c r="D117" s="64" t="e">
        <f>#REF!/#REF!</f>
        <v>#REF!</v>
      </c>
    </row>
    <row r="118" spans="1:4">
      <c r="A118" s="56" t="s">
        <v>50</v>
      </c>
      <c r="B118" t="s">
        <v>158</v>
      </c>
      <c r="D118" s="64"/>
    </row>
    <row r="119" spans="1:4">
      <c r="A119" s="56" t="s">
        <v>58</v>
      </c>
      <c r="D119" s="64" t="e">
        <f>SUBTOTAL(109,Módulo5[Valor])</f>
        <v>#REF!</v>
      </c>
    </row>
    <row r="120" spans="1:4">
      <c r="A120" s="56"/>
      <c r="D120" s="64"/>
    </row>
    <row r="121" spans="1:4">
      <c r="A121" s="115" t="s">
        <v>159</v>
      </c>
      <c r="B121" s="115"/>
      <c r="C121" s="115"/>
      <c r="D121" s="115"/>
    </row>
    <row r="122" spans="1:4">
      <c r="A122" s="115" t="s">
        <v>16</v>
      </c>
      <c r="B122" s="115" t="s">
        <v>70</v>
      </c>
      <c r="C122" s="115" t="s">
        <v>71</v>
      </c>
      <c r="D122" s="115" t="s">
        <v>72</v>
      </c>
    </row>
    <row r="123" spans="1:4">
      <c r="A123" s="76" t="s">
        <v>42</v>
      </c>
      <c r="B123" s="117" t="s">
        <v>155</v>
      </c>
      <c r="C123" s="118" t="s">
        <v>160</v>
      </c>
      <c r="D123" s="118"/>
    </row>
    <row r="124" ht="30" spans="1:4">
      <c r="A124" s="76" t="s">
        <v>45</v>
      </c>
      <c r="B124" s="119" t="s">
        <v>156</v>
      </c>
      <c r="C124" s="118" t="s">
        <v>161</v>
      </c>
      <c r="D124" s="118" t="s">
        <v>162</v>
      </c>
    </row>
    <row r="125" ht="30" spans="1:4">
      <c r="A125" s="76" t="s">
        <v>48</v>
      </c>
      <c r="B125" s="119" t="s">
        <v>157</v>
      </c>
      <c r="C125" s="118" t="s">
        <v>163</v>
      </c>
      <c r="D125" s="118" t="s">
        <v>162</v>
      </c>
    </row>
    <row r="126" spans="1:4">
      <c r="A126" s="76" t="s">
        <v>50</v>
      </c>
      <c r="B126" s="119" t="s">
        <v>158</v>
      </c>
      <c r="C126" s="118"/>
      <c r="D126" s="118"/>
    </row>
    <row r="128" spans="1:4">
      <c r="A128" s="39" t="s">
        <v>164</v>
      </c>
      <c r="B128" s="39"/>
      <c r="C128" s="39"/>
      <c r="D128" s="39"/>
    </row>
    <row r="129" outlineLevel="1" spans="1:4">
      <c r="A129" s="56" t="s">
        <v>165</v>
      </c>
      <c r="B129" t="s">
        <v>166</v>
      </c>
      <c r="C129" s="56" t="s">
        <v>38</v>
      </c>
      <c r="D129" s="56" t="s">
        <v>19</v>
      </c>
    </row>
    <row r="130" outlineLevel="1" spans="1:4">
      <c r="A130" s="56" t="s">
        <v>42</v>
      </c>
      <c r="B130" t="s">
        <v>167</v>
      </c>
      <c r="C130" s="66">
        <f>G16</f>
        <v>0.0471</v>
      </c>
      <c r="D130" s="64" t="e">
        <f>Módulo6[[#This Row],[Percentual]]*(D141+D142+D143+D144+D145)</f>
        <v>#REF!</v>
      </c>
    </row>
    <row r="131" outlineLevel="1" spans="1:4">
      <c r="A131" s="56" t="s">
        <v>45</v>
      </c>
      <c r="B131" t="s">
        <v>59</v>
      </c>
      <c r="C131" s="66">
        <f>G17</f>
        <v>0.0467</v>
      </c>
      <c r="D131" s="64" t="e">
        <f>(SUM(D141:D145)+D130)*Módulo6[[#This Row],[Percentual]]</f>
        <v>#REF!</v>
      </c>
    </row>
    <row r="132" spans="1:4">
      <c r="A132" s="56" t="s">
        <v>48</v>
      </c>
      <c r="B132" t="s">
        <v>168</v>
      </c>
      <c r="C132" s="66">
        <f>SUM(C133:C135)</f>
        <v>0.1425</v>
      </c>
      <c r="D132" s="64" t="e">
        <f>Módulo6[[#This Row],[Percentual]]*D148</f>
        <v>#REF!</v>
      </c>
    </row>
    <row r="133" spans="1:4">
      <c r="A133" s="56" t="s">
        <v>169</v>
      </c>
      <c r="B133" t="s">
        <v>60</v>
      </c>
      <c r="C133" s="66">
        <f>G18</f>
        <v>0.0165</v>
      </c>
      <c r="D133" s="64" t="e">
        <f>Módulo6[[#This Row],[Percentual]]*D148</f>
        <v>#REF!</v>
      </c>
    </row>
    <row r="134" spans="1:4">
      <c r="A134" s="56" t="s">
        <v>170</v>
      </c>
      <c r="B134" t="s">
        <v>62</v>
      </c>
      <c r="C134" s="66">
        <f>G19</f>
        <v>0.076</v>
      </c>
      <c r="D134" s="64" t="e">
        <f>Módulo6[[#This Row],[Percentual]]*D148</f>
        <v>#REF!</v>
      </c>
    </row>
    <row r="135" spans="1:4">
      <c r="A135" s="56" t="s">
        <v>171</v>
      </c>
      <c r="B135" t="s">
        <v>64</v>
      </c>
      <c r="C135" s="66">
        <f>G20</f>
        <v>0.05</v>
      </c>
      <c r="D135" s="64" t="e">
        <f>Módulo6[[#This Row],[Percentual]]*D148</f>
        <v>#REF!</v>
      </c>
    </row>
    <row r="136" spans="1:4">
      <c r="A136" s="56" t="s">
        <v>58</v>
      </c>
      <c r="C136" s="103"/>
      <c r="D136" s="64" t="e">
        <f>SUM(D130:D132)</f>
        <v>#REF!</v>
      </c>
    </row>
    <row r="137" spans="1:4">
      <c r="A137" s="56"/>
      <c r="C137" s="103"/>
      <c r="D137" s="64"/>
    </row>
    <row r="139" spans="1:4">
      <c r="A139" s="39" t="s">
        <v>172</v>
      </c>
      <c r="B139" s="39"/>
      <c r="C139" s="39"/>
      <c r="D139" s="39"/>
    </row>
    <row r="140" spans="1:4">
      <c r="A140" s="56" t="s">
        <v>16</v>
      </c>
      <c r="B140" s="56" t="s">
        <v>173</v>
      </c>
      <c r="C140" s="56" t="s">
        <v>102</v>
      </c>
      <c r="D140" s="56" t="s">
        <v>19</v>
      </c>
    </row>
    <row r="141" spans="1:4">
      <c r="A141" s="56" t="s">
        <v>42</v>
      </c>
      <c r="B141" t="s">
        <v>36</v>
      </c>
      <c r="D141" s="64">
        <f>Módulo1[[#Totals],[Valor]]</f>
        <v>998</v>
      </c>
    </row>
    <row r="142" spans="1:4">
      <c r="A142" s="56" t="s">
        <v>45</v>
      </c>
      <c r="B142" t="s">
        <v>61</v>
      </c>
      <c r="D142" s="64">
        <f>ResumoMódulo2[[#Totals],[Valor]]</f>
        <v>843.932</v>
      </c>
    </row>
    <row r="143" spans="1:4">
      <c r="A143" s="56" t="s">
        <v>48</v>
      </c>
      <c r="B143" t="s">
        <v>108</v>
      </c>
      <c r="D143" s="64">
        <f>Módulo3[[#Totals],[Valor]]</f>
        <v>157.862265311111</v>
      </c>
    </row>
    <row r="144" spans="1:4">
      <c r="A144" s="56" t="s">
        <v>50</v>
      </c>
      <c r="B144" t="s">
        <v>174</v>
      </c>
      <c r="D144" s="64">
        <f>ResumoMódulo4[[#Totals],[Valor]]</f>
        <v>162.187758903987</v>
      </c>
    </row>
    <row r="145" spans="1:4">
      <c r="A145" s="56" t="s">
        <v>53</v>
      </c>
      <c r="B145" t="s">
        <v>152</v>
      </c>
      <c r="D145" s="64" t="e">
        <f>Módulo5[[#Totals],[Valor]]</f>
        <v>#REF!</v>
      </c>
    </row>
    <row r="146" spans="1:4">
      <c r="A146" t="s">
        <v>175</v>
      </c>
      <c r="D146" s="64" t="e">
        <f>SUM(D141:D145)</f>
        <v>#REF!</v>
      </c>
    </row>
    <row r="147" spans="1:4">
      <c r="A147" s="56" t="s">
        <v>55</v>
      </c>
      <c r="B147" t="s">
        <v>164</v>
      </c>
      <c r="D147" s="64" t="e">
        <f>Módulo6[[#Totals],[Valor]]</f>
        <v>#REF!</v>
      </c>
    </row>
    <row r="148" spans="1:4">
      <c r="A148" s="105" t="s">
        <v>176</v>
      </c>
      <c r="B148" s="105"/>
      <c r="C148" s="105"/>
      <c r="D148" s="121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4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D148" sqref="A1:D148"/>
    </sheetView>
  </sheetViews>
  <sheetFormatPr defaultColWidth="9.14285714285714" defaultRowHeight="15" outlineLevelCol="6"/>
  <cols>
    <col min="1" max="1" width="10.5714285714286" customWidth="1"/>
    <col min="2" max="2" width="56.4285714285714" customWidth="1"/>
    <col min="3" max="3" width="20.2857142857143" customWidth="1"/>
    <col min="4" max="4" width="29.7142857142857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194</v>
      </c>
      <c r="B13" s="51"/>
      <c r="C13" s="45" t="s">
        <v>195</v>
      </c>
      <c r="D13" s="52">
        <f>RESUMO!D3</f>
        <v>2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Tradutor-Intérprete de Libras</v>
      </c>
    </row>
    <row r="18" spans="1:4">
      <c r="A18" s="56">
        <v>2</v>
      </c>
      <c r="B18" t="s">
        <v>23</v>
      </c>
      <c r="C18" s="57" t="s">
        <v>196</v>
      </c>
      <c r="D18" s="57" t="s">
        <v>197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2575.36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200</v>
      </c>
      <c r="D25" s="58">
        <f>D19</f>
        <v>2575.36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2575.36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214.61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286.15</v>
      </c>
      <c r="F38" s="67"/>
      <c r="G38" s="67"/>
    </row>
    <row r="39" spans="1:7">
      <c r="A39" s="56" t="s">
        <v>58</v>
      </c>
      <c r="D39" s="64">
        <f>TRUNC((SUM(D37:D38)),2)</f>
        <v>500.76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2575.36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500.76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3076.12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615.22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76.9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184.56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46.14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30.76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18.45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6.15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246.08</v>
      </c>
    </row>
    <row r="55" spans="1:4">
      <c r="A55" s="56" t="s">
        <v>58</v>
      </c>
      <c r="C55" s="73">
        <f>SUM(C47:C54)</f>
        <v>0.398</v>
      </c>
      <c r="D55" s="64">
        <f>TRUNC(SUM(D47:D54),2)</f>
        <v>1224.26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v>0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336.8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500.76</v>
      </c>
    </row>
    <row r="70" spans="1:4">
      <c r="A70" s="56" t="s">
        <v>78</v>
      </c>
      <c r="B70" t="s">
        <v>79</v>
      </c>
      <c r="C70" s="56"/>
      <c r="D70" s="64">
        <f>D55</f>
        <v>1224.26</v>
      </c>
    </row>
    <row r="71" spans="1:4">
      <c r="A71" s="56" t="s">
        <v>96</v>
      </c>
      <c r="B71" t="s">
        <v>97</v>
      </c>
      <c r="C71" s="56"/>
      <c r="D71" s="64">
        <f>D65</f>
        <v>336.8</v>
      </c>
    </row>
    <row r="72" spans="1:4">
      <c r="A72" s="56" t="s">
        <v>58</v>
      </c>
      <c r="C72" s="56"/>
      <c r="D72" s="64">
        <f>TRUNC((SUM(D69:D71)),2)</f>
        <v>2061.82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10.73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0.85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4.12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47.57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18.93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78.29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160.49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2575.36</v>
      </c>
    </row>
    <row r="85" ht="16.5" spans="1:4">
      <c r="A85" s="68"/>
      <c r="B85" s="68"/>
      <c r="C85" s="71" t="s">
        <v>211</v>
      </c>
      <c r="D85" s="70">
        <f>D72</f>
        <v>2061.82</v>
      </c>
    </row>
    <row r="86" ht="16.5" spans="1:4">
      <c r="A86" s="68"/>
      <c r="B86" s="68"/>
      <c r="C86" s="69" t="s">
        <v>212</v>
      </c>
      <c r="D86" s="70">
        <f>D82</f>
        <v>160.49</v>
      </c>
    </row>
    <row r="87" ht="16.5" spans="1:4">
      <c r="A87" s="68"/>
      <c r="B87" s="68"/>
      <c r="C87" s="71" t="s">
        <v>204</v>
      </c>
      <c r="D87" s="72">
        <f>TRUNC((SUM(D84:D86)),2)</f>
        <v>4797.67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77.74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26.65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1.33</v>
      </c>
    </row>
    <row r="95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15.99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5.33</v>
      </c>
    </row>
    <row r="97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127.04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20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127.04</v>
      </c>
    </row>
    <row r="108" spans="1:4">
      <c r="A108" s="56" t="s">
        <v>145</v>
      </c>
      <c r="B108" t="s">
        <v>151</v>
      </c>
      <c r="C108" s="61"/>
      <c r="D108" s="93"/>
    </row>
    <row r="109" ht="90" spans="1:4">
      <c r="A109" s="76" t="s">
        <v>58</v>
      </c>
      <c r="B109" s="77"/>
      <c r="C109" s="89" t="s">
        <v>217</v>
      </c>
      <c r="D109" s="94">
        <f>TRUNC((SUM(D107:D108)),2)</f>
        <v>127.04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218</v>
      </c>
      <c r="D113" s="95">
        <f>Uniformes!G12</f>
        <v>87.37</v>
      </c>
    </row>
    <row r="114" spans="1:4">
      <c r="A114" s="56" t="s">
        <v>45</v>
      </c>
      <c r="B114" t="s">
        <v>219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220</v>
      </c>
      <c r="C117" s="56"/>
      <c r="D117" s="58">
        <v>0</v>
      </c>
    </row>
    <row r="118" spans="1:4">
      <c r="A118" s="56" t="s">
        <v>58</v>
      </c>
      <c r="D118" s="64">
        <f>TRUNC(SUM(D113:D117),2)</f>
        <v>87.37</v>
      </c>
    </row>
    <row r="120" ht="16.5" spans="1:4">
      <c r="A120" s="68" t="s">
        <v>221</v>
      </c>
      <c r="B120" s="68"/>
      <c r="C120" s="69" t="s">
        <v>202</v>
      </c>
      <c r="D120" s="70">
        <f>D31</f>
        <v>2575.36</v>
      </c>
    </row>
    <row r="121" ht="16.5" spans="1:4">
      <c r="A121" s="68"/>
      <c r="B121" s="68"/>
      <c r="C121" s="71" t="s">
        <v>211</v>
      </c>
      <c r="D121" s="70">
        <f>D72</f>
        <v>2061.82</v>
      </c>
    </row>
    <row r="122" ht="16.5" spans="1:4">
      <c r="A122" s="68"/>
      <c r="B122" s="68"/>
      <c r="C122" s="69" t="s">
        <v>212</v>
      </c>
      <c r="D122" s="70">
        <f>D82</f>
        <v>160.49</v>
      </c>
    </row>
    <row r="123" ht="16.5" spans="1:4">
      <c r="A123" s="68"/>
      <c r="B123" s="68"/>
      <c r="C123" s="71" t="s">
        <v>222</v>
      </c>
      <c r="D123" s="70">
        <f>D109</f>
        <v>127.04</v>
      </c>
    </row>
    <row r="124" ht="16.5" spans="1:4">
      <c r="A124" s="68"/>
      <c r="B124" s="68"/>
      <c r="C124" s="69" t="s">
        <v>223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5012.08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224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202.48</v>
      </c>
      <c r="F129" s="98" t="s">
        <v>225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182.5</v>
      </c>
      <c r="F130" s="99" t="s">
        <v>226</v>
      </c>
      <c r="G130" s="100">
        <f>TRUNC(SUM(D125,D129,D130),2)</f>
        <v>5397.06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511.04</v>
      </c>
      <c r="F131" s="98" t="s">
        <v>227</v>
      </c>
      <c r="G131" s="101">
        <f>(100-8.65)/100</f>
        <v>0.9135</v>
      </c>
    </row>
    <row r="132" ht="15.75" spans="1:7">
      <c r="A132" s="56"/>
      <c r="B132" t="s">
        <v>228</v>
      </c>
      <c r="C132" s="74">
        <v>0.0065</v>
      </c>
      <c r="D132" s="58">
        <f t="shared" ref="D132:D134" si="3">TRUNC(($G$132*C132),2)</f>
        <v>38.4</v>
      </c>
      <c r="F132" s="99" t="s">
        <v>224</v>
      </c>
      <c r="G132" s="100">
        <f>TRUNC((G130/G131),2)</f>
        <v>5908.11</v>
      </c>
    </row>
    <row r="133" ht="15.75" spans="1:4">
      <c r="A133" s="56"/>
      <c r="B133" t="s">
        <v>229</v>
      </c>
      <c r="C133" s="74">
        <v>0.03</v>
      </c>
      <c r="D133" s="58">
        <f t="shared" si="3"/>
        <v>177.24</v>
      </c>
    </row>
    <row r="134" spans="1:4">
      <c r="A134" s="56"/>
      <c r="B134" t="s">
        <v>230</v>
      </c>
      <c r="C134" s="74">
        <v>0.05</v>
      </c>
      <c r="D134" s="58">
        <f t="shared" si="3"/>
        <v>295.4</v>
      </c>
    </row>
    <row r="135" spans="1:4">
      <c r="A135" s="56" t="s">
        <v>58</v>
      </c>
      <c r="B135" s="102"/>
      <c r="C135" s="103"/>
      <c r="D135" s="64">
        <f>SUM(D129:D131)</f>
        <v>896.02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2575.36</v>
      </c>
    </row>
    <row r="141" spans="1:4">
      <c r="A141" s="56" t="s">
        <v>45</v>
      </c>
      <c r="B141" t="s">
        <v>61</v>
      </c>
      <c r="D141" s="64">
        <f>D72</f>
        <v>2061.82</v>
      </c>
    </row>
    <row r="142" spans="1:4">
      <c r="A142" s="56" t="s">
        <v>48</v>
      </c>
      <c r="B142" t="s">
        <v>108</v>
      </c>
      <c r="D142" s="64">
        <f>D82</f>
        <v>160.49</v>
      </c>
    </row>
    <row r="143" spans="1:4">
      <c r="A143" s="56" t="s">
        <v>50</v>
      </c>
      <c r="B143" t="s">
        <v>174</v>
      </c>
      <c r="D143" s="64">
        <f>D109</f>
        <v>127.04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5012.08</v>
      </c>
    </row>
    <row r="146" spans="1:4">
      <c r="A146" s="56" t="s">
        <v>55</v>
      </c>
      <c r="B146" t="s">
        <v>164</v>
      </c>
      <c r="D146" s="64">
        <f>D135</f>
        <v>896.02</v>
      </c>
    </row>
    <row r="147" spans="1:4">
      <c r="A147" s="105"/>
      <c r="B147" s="106" t="s">
        <v>231</v>
      </c>
      <c r="C147" s="105"/>
      <c r="D147" s="107">
        <f>TRUNC((SUM(D140:D144)+D146),2)</f>
        <v>5908.1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D148" sqref="A1:D148"/>
    </sheetView>
  </sheetViews>
  <sheetFormatPr defaultColWidth="9.14285714285714" defaultRowHeight="15" outlineLevelCol="6"/>
  <cols>
    <col min="1" max="1" width="10.5714285714286" customWidth="1"/>
    <col min="2" max="2" width="56.5714285714286" customWidth="1"/>
    <col min="3" max="3" width="20.2857142857143" customWidth="1"/>
    <col min="4" max="4" width="32.4285714285714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232</v>
      </c>
      <c r="B13" s="51"/>
      <c r="C13" s="45" t="s">
        <v>195</v>
      </c>
      <c r="D13" s="52">
        <f>RESUMO!D4</f>
        <v>1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Cuidador</v>
      </c>
    </row>
    <row r="18" spans="1:4">
      <c r="A18" s="56">
        <v>2</v>
      </c>
      <c r="B18" t="s">
        <v>23</v>
      </c>
      <c r="C18" s="57" t="s">
        <v>196</v>
      </c>
      <c r="D18" s="57" t="s">
        <v>233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1654.8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234</v>
      </c>
      <c r="D25" s="58">
        <f>D19</f>
        <v>1654.8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1654.8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137.9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183.86</v>
      </c>
      <c r="F38" s="67"/>
      <c r="G38" s="67"/>
    </row>
    <row r="39" spans="1:7">
      <c r="A39" s="56" t="s">
        <v>58</v>
      </c>
      <c r="D39" s="64">
        <f>TRUNC((SUM(D37:D38)),2)</f>
        <v>321.76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1654.8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321.76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1976.56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395.31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49.41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118.59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29.64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19.76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11.85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3.95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158.12</v>
      </c>
    </row>
    <row r="55" spans="1:4">
      <c r="A55" s="56" t="s">
        <v>58</v>
      </c>
      <c r="C55" s="73">
        <f>SUM(C47:C54)</f>
        <v>0.398</v>
      </c>
      <c r="D55" s="64">
        <f>TRUNC(SUM(D47:D54),2)</f>
        <v>786.63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v>0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336.8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321.76</v>
      </c>
    </row>
    <row r="70" spans="1:4">
      <c r="A70" s="56" t="s">
        <v>78</v>
      </c>
      <c r="B70" t="s">
        <v>79</v>
      </c>
      <c r="C70" s="56"/>
      <c r="D70" s="64">
        <f>D55</f>
        <v>786.63</v>
      </c>
    </row>
    <row r="71" spans="1:4">
      <c r="A71" s="56" t="s">
        <v>96</v>
      </c>
      <c r="B71" t="s">
        <v>97</v>
      </c>
      <c r="C71" s="56"/>
      <c r="D71" s="64">
        <f>D65</f>
        <v>336.8</v>
      </c>
    </row>
    <row r="72" spans="1:4">
      <c r="A72" s="56" t="s">
        <v>58</v>
      </c>
      <c r="C72" s="56"/>
      <c r="D72" s="64">
        <f>TRUNC((SUM(D69:D71)),2)</f>
        <v>1445.19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6.89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0.55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2.64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30.56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12.16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50.3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103.1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1654.8</v>
      </c>
    </row>
    <row r="85" ht="16.5" spans="1:4">
      <c r="A85" s="68"/>
      <c r="B85" s="68"/>
      <c r="C85" s="71" t="s">
        <v>211</v>
      </c>
      <c r="D85" s="70">
        <f>D72</f>
        <v>1445.19</v>
      </c>
    </row>
    <row r="86" ht="16.5" spans="1:4">
      <c r="A86" s="68"/>
      <c r="B86" s="68"/>
      <c r="C86" s="69" t="s">
        <v>212</v>
      </c>
      <c r="D86" s="70">
        <f>D82</f>
        <v>103.1</v>
      </c>
    </row>
    <row r="87" ht="16.5" spans="1:4">
      <c r="A87" s="68"/>
      <c r="B87" s="68"/>
      <c r="C87" s="71" t="s">
        <v>204</v>
      </c>
      <c r="D87" s="72">
        <f>TRUNC((SUM(D84:D86)),2)</f>
        <v>3203.09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51.9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17.79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0.88</v>
      </c>
    </row>
    <row r="95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10.67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3.55</v>
      </c>
    </row>
    <row r="97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84.79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20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84.79</v>
      </c>
    </row>
    <row r="108" spans="1:4">
      <c r="A108" s="56" t="s">
        <v>145</v>
      </c>
      <c r="B108" t="s">
        <v>151</v>
      </c>
      <c r="C108" s="61"/>
      <c r="D108" s="93"/>
    </row>
    <row r="109" ht="90" spans="1:4">
      <c r="A109" s="76" t="s">
        <v>58</v>
      </c>
      <c r="B109" s="77"/>
      <c r="C109" s="89" t="s">
        <v>217</v>
      </c>
      <c r="D109" s="94">
        <f>TRUNC((SUM(D107:D108)),2)</f>
        <v>84.79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218</v>
      </c>
      <c r="D113" s="95">
        <f>Uniformes!G12</f>
        <v>87.37</v>
      </c>
    </row>
    <row r="114" spans="1:4">
      <c r="A114" s="56" t="s">
        <v>45</v>
      </c>
      <c r="B114" t="s">
        <v>219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220</v>
      </c>
      <c r="C117" s="56"/>
      <c r="D117" s="58">
        <v>0</v>
      </c>
    </row>
    <row r="118" spans="1:4">
      <c r="A118" s="56" t="s">
        <v>58</v>
      </c>
      <c r="D118" s="64">
        <f>TRUNC(SUM(D113:D117),2)</f>
        <v>87.37</v>
      </c>
    </row>
    <row r="120" ht="16.5" spans="1:4">
      <c r="A120" s="68" t="s">
        <v>221</v>
      </c>
      <c r="B120" s="68"/>
      <c r="C120" s="69" t="s">
        <v>202</v>
      </c>
      <c r="D120" s="70">
        <f>D31</f>
        <v>1654.8</v>
      </c>
    </row>
    <row r="121" ht="16.5" spans="1:4">
      <c r="A121" s="68"/>
      <c r="B121" s="68"/>
      <c r="C121" s="71" t="s">
        <v>211</v>
      </c>
      <c r="D121" s="70">
        <f>D72</f>
        <v>1445.19</v>
      </c>
    </row>
    <row r="122" ht="16.5" spans="1:4">
      <c r="A122" s="68"/>
      <c r="B122" s="68"/>
      <c r="C122" s="69" t="s">
        <v>212</v>
      </c>
      <c r="D122" s="70">
        <f>D82</f>
        <v>103.1</v>
      </c>
    </row>
    <row r="123" ht="16.5" spans="1:4">
      <c r="A123" s="68"/>
      <c r="B123" s="68"/>
      <c r="C123" s="71" t="s">
        <v>222</v>
      </c>
      <c r="D123" s="70">
        <f>D109</f>
        <v>84.79</v>
      </c>
    </row>
    <row r="124" ht="16.5" spans="1:4">
      <c r="A124" s="68"/>
      <c r="B124" s="68"/>
      <c r="C124" s="69" t="s">
        <v>223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3375.25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224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136.36</v>
      </c>
      <c r="F129" s="98" t="s">
        <v>225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122.9</v>
      </c>
      <c r="F130" s="99" t="s">
        <v>226</v>
      </c>
      <c r="G130" s="100">
        <f>TRUNC(SUM(D125,D129,D130),2)</f>
        <v>3634.51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344.14</v>
      </c>
      <c r="F131" s="98" t="s">
        <v>227</v>
      </c>
      <c r="G131" s="101">
        <f>(100-8.65)/100</f>
        <v>0.9135</v>
      </c>
    </row>
    <row r="132" ht="15.75" spans="1:7">
      <c r="A132" s="56"/>
      <c r="B132" t="s">
        <v>228</v>
      </c>
      <c r="C132" s="74">
        <v>0.0065</v>
      </c>
      <c r="D132" s="58">
        <f t="shared" ref="D132:D134" si="3">TRUNC(($G$132*C132),2)</f>
        <v>25.86</v>
      </c>
      <c r="F132" s="99" t="s">
        <v>224</v>
      </c>
      <c r="G132" s="100">
        <f>TRUNC((G130/G131),2)</f>
        <v>3978.66</v>
      </c>
    </row>
    <row r="133" ht="15.75" spans="1:4">
      <c r="A133" s="56"/>
      <c r="B133" t="s">
        <v>229</v>
      </c>
      <c r="C133" s="74">
        <v>0.03</v>
      </c>
      <c r="D133" s="58">
        <f t="shared" si="3"/>
        <v>119.35</v>
      </c>
    </row>
    <row r="134" spans="1:4">
      <c r="A134" s="56"/>
      <c r="B134" t="s">
        <v>230</v>
      </c>
      <c r="C134" s="74">
        <v>0.05</v>
      </c>
      <c r="D134" s="58">
        <f t="shared" si="3"/>
        <v>198.93</v>
      </c>
    </row>
    <row r="135" spans="1:4">
      <c r="A135" s="56" t="s">
        <v>58</v>
      </c>
      <c r="B135" s="102"/>
      <c r="C135" s="103"/>
      <c r="D135" s="64">
        <f>SUM(D129:D131)</f>
        <v>603.4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1654.8</v>
      </c>
    </row>
    <row r="141" spans="1:4">
      <c r="A141" s="56" t="s">
        <v>45</v>
      </c>
      <c r="B141" t="s">
        <v>61</v>
      </c>
      <c r="D141" s="64">
        <f>D72</f>
        <v>1445.19</v>
      </c>
    </row>
    <row r="142" spans="1:4">
      <c r="A142" s="56" t="s">
        <v>48</v>
      </c>
      <c r="B142" t="s">
        <v>108</v>
      </c>
      <c r="D142" s="64">
        <f>D82</f>
        <v>103.1</v>
      </c>
    </row>
    <row r="143" spans="1:4">
      <c r="A143" s="56" t="s">
        <v>50</v>
      </c>
      <c r="B143" t="s">
        <v>174</v>
      </c>
      <c r="D143" s="64">
        <f>D109</f>
        <v>84.79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3375.25</v>
      </c>
    </row>
    <row r="146" spans="1:4">
      <c r="A146" s="56" t="s">
        <v>55</v>
      </c>
      <c r="B146" t="s">
        <v>164</v>
      </c>
      <c r="D146" s="64">
        <f>D135</f>
        <v>603.4</v>
      </c>
    </row>
    <row r="147" spans="1:4">
      <c r="A147" s="105"/>
      <c r="B147" s="106" t="s">
        <v>231</v>
      </c>
      <c r="C147" s="105"/>
      <c r="D147" s="107">
        <f>TRUNC((SUM(D140:D144)+D146),2)</f>
        <v>3978.65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D148" sqref="A1:D148"/>
    </sheetView>
  </sheetViews>
  <sheetFormatPr defaultColWidth="9.14285714285714" defaultRowHeight="15" outlineLevelCol="6"/>
  <cols>
    <col min="1" max="1" width="10.5714285714286" customWidth="1"/>
    <col min="2" max="2" width="58.1428571428571" customWidth="1"/>
    <col min="3" max="3" width="21.4285714285714" customWidth="1"/>
    <col min="4" max="4" width="33.8571428571429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235</v>
      </c>
      <c r="B13" s="51"/>
      <c r="C13" s="45" t="s">
        <v>195</v>
      </c>
      <c r="D13" s="52">
        <f>RESUMO!D5</f>
        <v>1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Alfabetizador de Joves e Adultos</v>
      </c>
    </row>
    <row r="18" spans="1:4">
      <c r="A18" s="56">
        <v>2</v>
      </c>
      <c r="B18" t="s">
        <v>23</v>
      </c>
      <c r="C18" s="57" t="s">
        <v>196</v>
      </c>
      <c r="D18" s="57" t="s">
        <v>236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2575.36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200</v>
      </c>
      <c r="D25" s="58">
        <f>D19</f>
        <v>2575.36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2575.36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214.61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286.15</v>
      </c>
      <c r="F38" s="67"/>
      <c r="G38" s="67"/>
    </row>
    <row r="39" spans="1:7">
      <c r="A39" s="56" t="s">
        <v>58</v>
      </c>
      <c r="D39" s="64">
        <f>TRUNC((SUM(D37:D38)),2)</f>
        <v>500.76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2575.36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500.76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3076.12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615.22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76.9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184.56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46.14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30.76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18.45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6.15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246.08</v>
      </c>
    </row>
    <row r="55" spans="1:4">
      <c r="A55" s="56" t="s">
        <v>58</v>
      </c>
      <c r="C55" s="73">
        <f>SUM(C47:C54)</f>
        <v>0.398</v>
      </c>
      <c r="D55" s="64">
        <f>TRUNC(SUM(D47:D54),2)</f>
        <v>1224.26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v>0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336.8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500.76</v>
      </c>
    </row>
    <row r="70" spans="1:4">
      <c r="A70" s="56" t="s">
        <v>78</v>
      </c>
      <c r="B70" t="s">
        <v>79</v>
      </c>
      <c r="C70" s="56"/>
      <c r="D70" s="64">
        <f>D55</f>
        <v>1224.26</v>
      </c>
    </row>
    <row r="71" spans="1:4">
      <c r="A71" s="56" t="s">
        <v>96</v>
      </c>
      <c r="B71" t="s">
        <v>97</v>
      </c>
      <c r="C71" s="56"/>
      <c r="D71" s="64">
        <f>D65</f>
        <v>336.8</v>
      </c>
    </row>
    <row r="72" spans="1:4">
      <c r="A72" s="56" t="s">
        <v>58</v>
      </c>
      <c r="C72" s="56"/>
      <c r="D72" s="64">
        <f>TRUNC((SUM(D69:D71)),2)</f>
        <v>2061.82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10.73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0.85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4.12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47.57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18.93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78.29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160.49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2575.36</v>
      </c>
    </row>
    <row r="85" ht="16.5" spans="1:4">
      <c r="A85" s="68"/>
      <c r="B85" s="68"/>
      <c r="C85" s="71" t="s">
        <v>211</v>
      </c>
      <c r="D85" s="70">
        <f>D72</f>
        <v>2061.82</v>
      </c>
    </row>
    <row r="86" ht="16.5" spans="1:4">
      <c r="A86" s="68"/>
      <c r="B86" s="68"/>
      <c r="C86" s="69" t="s">
        <v>212</v>
      </c>
      <c r="D86" s="70">
        <f>D82</f>
        <v>160.49</v>
      </c>
    </row>
    <row r="87" ht="16.5" spans="1:4">
      <c r="A87" s="68"/>
      <c r="B87" s="68"/>
      <c r="C87" s="71" t="s">
        <v>204</v>
      </c>
      <c r="D87" s="72">
        <f>TRUNC((SUM(D84:D86)),2)</f>
        <v>4797.67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77.74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26.65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1.33</v>
      </c>
    </row>
    <row r="95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15.99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5.33</v>
      </c>
    </row>
    <row r="97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127.04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20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127.04</v>
      </c>
    </row>
    <row r="108" spans="1:4">
      <c r="A108" s="56" t="s">
        <v>145</v>
      </c>
      <c r="B108" t="s">
        <v>151</v>
      </c>
      <c r="C108" s="61"/>
      <c r="D108" s="93"/>
    </row>
    <row r="109" ht="75" spans="1:4">
      <c r="A109" s="76" t="s">
        <v>58</v>
      </c>
      <c r="B109" s="77"/>
      <c r="C109" s="89" t="s">
        <v>217</v>
      </c>
      <c r="D109" s="94">
        <f>TRUNC((SUM(D107:D108)),2)</f>
        <v>127.04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218</v>
      </c>
      <c r="D113" s="95">
        <f>Uniformes!G12</f>
        <v>87.37</v>
      </c>
    </row>
    <row r="114" spans="1:4">
      <c r="A114" s="56" t="s">
        <v>45</v>
      </c>
      <c r="B114" t="s">
        <v>219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220</v>
      </c>
      <c r="C117" s="56"/>
      <c r="D117" s="58">
        <v>0</v>
      </c>
    </row>
    <row r="118" spans="1:4">
      <c r="A118" s="56" t="s">
        <v>58</v>
      </c>
      <c r="D118" s="64">
        <f>TRUNC(SUM(D113:D117),2)</f>
        <v>87.37</v>
      </c>
    </row>
    <row r="120" ht="16.5" spans="1:4">
      <c r="A120" s="68" t="s">
        <v>221</v>
      </c>
      <c r="B120" s="68"/>
      <c r="C120" s="69" t="s">
        <v>202</v>
      </c>
      <c r="D120" s="70">
        <f>D31</f>
        <v>2575.36</v>
      </c>
    </row>
    <row r="121" ht="16.5" spans="1:4">
      <c r="A121" s="68"/>
      <c r="B121" s="68"/>
      <c r="C121" s="71" t="s">
        <v>211</v>
      </c>
      <c r="D121" s="70">
        <f>D72</f>
        <v>2061.82</v>
      </c>
    </row>
    <row r="122" ht="16.5" spans="1:4">
      <c r="A122" s="68"/>
      <c r="B122" s="68"/>
      <c r="C122" s="69" t="s">
        <v>212</v>
      </c>
      <c r="D122" s="70">
        <f>D82</f>
        <v>160.49</v>
      </c>
    </row>
    <row r="123" ht="16.5" spans="1:4">
      <c r="A123" s="68"/>
      <c r="B123" s="68"/>
      <c r="C123" s="71" t="s">
        <v>222</v>
      </c>
      <c r="D123" s="70">
        <f>D109</f>
        <v>127.04</v>
      </c>
    </row>
    <row r="124" ht="16.5" spans="1:4">
      <c r="A124" s="68"/>
      <c r="B124" s="68"/>
      <c r="C124" s="69" t="s">
        <v>223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5012.08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224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202.48</v>
      </c>
      <c r="F129" s="98" t="s">
        <v>225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182.5</v>
      </c>
      <c r="F130" s="99" t="s">
        <v>226</v>
      </c>
      <c r="G130" s="100">
        <f>TRUNC(SUM(D125,D129,D130),2)</f>
        <v>5397.06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511.04</v>
      </c>
      <c r="F131" s="98" t="s">
        <v>227</v>
      </c>
      <c r="G131" s="101">
        <f>(100-8.65)/100</f>
        <v>0.9135</v>
      </c>
    </row>
    <row r="132" ht="15.75" spans="1:7">
      <c r="A132" s="56"/>
      <c r="B132" t="s">
        <v>228</v>
      </c>
      <c r="C132" s="74">
        <v>0.0065</v>
      </c>
      <c r="D132" s="58">
        <f t="shared" ref="D132:D134" si="3">TRUNC(($G$132*C132),2)</f>
        <v>38.4</v>
      </c>
      <c r="F132" s="99" t="s">
        <v>224</v>
      </c>
      <c r="G132" s="100">
        <f>TRUNC((G130/G131),2)</f>
        <v>5908.11</v>
      </c>
    </row>
    <row r="133" ht="15.75" spans="1:4">
      <c r="A133" s="56"/>
      <c r="B133" t="s">
        <v>229</v>
      </c>
      <c r="C133" s="74">
        <v>0.03</v>
      </c>
      <c r="D133" s="58">
        <f t="shared" si="3"/>
        <v>177.24</v>
      </c>
    </row>
    <row r="134" spans="1:4">
      <c r="A134" s="56"/>
      <c r="B134" t="s">
        <v>230</v>
      </c>
      <c r="C134" s="74">
        <v>0.05</v>
      </c>
      <c r="D134" s="58">
        <f t="shared" si="3"/>
        <v>295.4</v>
      </c>
    </row>
    <row r="135" spans="1:4">
      <c r="A135" s="56" t="s">
        <v>58</v>
      </c>
      <c r="B135" s="102"/>
      <c r="C135" s="103"/>
      <c r="D135" s="64">
        <f>SUM(D129:D131)</f>
        <v>896.02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2575.36</v>
      </c>
    </row>
    <row r="141" spans="1:4">
      <c r="A141" s="56" t="s">
        <v>45</v>
      </c>
      <c r="B141" t="s">
        <v>61</v>
      </c>
      <c r="D141" s="64">
        <f>D72</f>
        <v>2061.82</v>
      </c>
    </row>
    <row r="142" spans="1:4">
      <c r="A142" s="56" t="s">
        <v>48</v>
      </c>
      <c r="B142" t="s">
        <v>108</v>
      </c>
      <c r="D142" s="64">
        <f>D82</f>
        <v>160.49</v>
      </c>
    </row>
    <row r="143" spans="1:4">
      <c r="A143" s="56" t="s">
        <v>50</v>
      </c>
      <c r="B143" t="s">
        <v>174</v>
      </c>
      <c r="D143" s="64">
        <f>D109</f>
        <v>127.04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5012.08</v>
      </c>
    </row>
    <row r="146" spans="1:4">
      <c r="A146" s="56" t="s">
        <v>55</v>
      </c>
      <c r="B146" t="s">
        <v>164</v>
      </c>
      <c r="D146" s="64">
        <f>D135</f>
        <v>896.02</v>
      </c>
    </row>
    <row r="147" spans="1:4">
      <c r="A147" s="105"/>
      <c r="B147" s="106" t="s">
        <v>231</v>
      </c>
      <c r="C147" s="105"/>
      <c r="D147" s="107">
        <f>TRUNC((SUM(D140:D144)+D146),2)</f>
        <v>5908.1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D148" sqref="A1:D148"/>
    </sheetView>
  </sheetViews>
  <sheetFormatPr defaultColWidth="9.14285714285714" defaultRowHeight="15" outlineLevelCol="6"/>
  <cols>
    <col min="1" max="1" width="10.5714285714286" customWidth="1"/>
    <col min="2" max="2" width="44.4285714285714" customWidth="1"/>
    <col min="3" max="3" width="23.4285714285714" customWidth="1"/>
    <col min="4" max="4" width="29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237</v>
      </c>
      <c r="B13" s="51"/>
      <c r="C13" s="45" t="s">
        <v>195</v>
      </c>
      <c r="D13" s="52">
        <f>RESUMO!D6</f>
        <v>1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Psicopedagogo Educacional</v>
      </c>
    </row>
    <row r="18" spans="1:4">
      <c r="A18" s="56">
        <v>2</v>
      </c>
      <c r="B18" t="s">
        <v>23</v>
      </c>
      <c r="C18" s="57" t="s">
        <v>196</v>
      </c>
      <c r="D18" s="57" t="s">
        <v>238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2575.36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200</v>
      </c>
      <c r="D25" s="58">
        <v>2575.36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2575.36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214.61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286.15</v>
      </c>
      <c r="F38" s="67"/>
      <c r="G38" s="67"/>
    </row>
    <row r="39" spans="1:7">
      <c r="A39" s="56" t="s">
        <v>58</v>
      </c>
      <c r="D39" s="64">
        <f>TRUNC((SUM(D37:D38)),2)</f>
        <v>500.76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2575.36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500.76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3076.12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615.22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76.9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184.56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46.14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30.76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18.45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6.15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246.08</v>
      </c>
    </row>
    <row r="55" spans="1:4">
      <c r="A55" s="56" t="s">
        <v>58</v>
      </c>
      <c r="C55" s="73">
        <f>SUM(C47:C54)</f>
        <v>0.398</v>
      </c>
      <c r="D55" s="64">
        <f>TRUNC(SUM(D47:D54),2)</f>
        <v>1224.26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v>0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336.8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500.76</v>
      </c>
    </row>
    <row r="70" spans="1:4">
      <c r="A70" s="56" t="s">
        <v>78</v>
      </c>
      <c r="B70" t="s">
        <v>79</v>
      </c>
      <c r="C70" s="56"/>
      <c r="D70" s="64">
        <f>D55</f>
        <v>1224.26</v>
      </c>
    </row>
    <row r="71" spans="1:4">
      <c r="A71" s="56" t="s">
        <v>96</v>
      </c>
      <c r="B71" t="s">
        <v>97</v>
      </c>
      <c r="C71" s="56"/>
      <c r="D71" s="64">
        <f>D65</f>
        <v>336.8</v>
      </c>
    </row>
    <row r="72" spans="1:4">
      <c r="A72" s="56" t="s">
        <v>58</v>
      </c>
      <c r="C72" s="56"/>
      <c r="D72" s="64">
        <f>TRUNC((SUM(D69:D71)),2)</f>
        <v>2061.82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10.73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0.85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4.12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47.57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18.93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78.29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160.49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2575.36</v>
      </c>
    </row>
    <row r="85" ht="16.5" spans="1:4">
      <c r="A85" s="68"/>
      <c r="B85" s="68"/>
      <c r="C85" s="71" t="s">
        <v>211</v>
      </c>
      <c r="D85" s="70">
        <f>D72</f>
        <v>2061.82</v>
      </c>
    </row>
    <row r="86" ht="16.5" spans="1:4">
      <c r="A86" s="68"/>
      <c r="B86" s="68"/>
      <c r="C86" s="69" t="s">
        <v>212</v>
      </c>
      <c r="D86" s="70">
        <f>D82</f>
        <v>160.49</v>
      </c>
    </row>
    <row r="87" ht="16.5" spans="1:4">
      <c r="A87" s="68"/>
      <c r="B87" s="68"/>
      <c r="C87" s="71" t="s">
        <v>204</v>
      </c>
      <c r="D87" s="72">
        <f>TRUNC((SUM(D84:D86)),2)</f>
        <v>4797.67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77.74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26.65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1.33</v>
      </c>
    </row>
    <row r="95" ht="30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15.99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5.33</v>
      </c>
    </row>
    <row r="97" ht="30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127.04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05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127.04</v>
      </c>
    </row>
    <row r="108" spans="1:4">
      <c r="A108" s="56" t="s">
        <v>145</v>
      </c>
      <c r="B108" t="s">
        <v>151</v>
      </c>
      <c r="C108" s="61"/>
      <c r="D108" s="93"/>
    </row>
    <row r="109" ht="75" spans="1:4">
      <c r="A109" s="76" t="s">
        <v>58</v>
      </c>
      <c r="B109" s="77"/>
      <c r="C109" s="89" t="s">
        <v>217</v>
      </c>
      <c r="D109" s="94">
        <f>TRUNC((SUM(D107:D108)),2)</f>
        <v>127.04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218</v>
      </c>
      <c r="D113" s="95">
        <f>Uniformes!G12</f>
        <v>87.37</v>
      </c>
    </row>
    <row r="114" spans="1:4">
      <c r="A114" s="56" t="s">
        <v>45</v>
      </c>
      <c r="B114" t="s">
        <v>219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220</v>
      </c>
      <c r="C117" s="56"/>
      <c r="D117" s="58">
        <v>0</v>
      </c>
    </row>
    <row r="118" spans="1:4">
      <c r="A118" s="56" t="s">
        <v>58</v>
      </c>
      <c r="D118" s="64">
        <f>TRUNC(SUM(D113:D117),2)</f>
        <v>87.37</v>
      </c>
    </row>
    <row r="120" ht="16.5" spans="1:4">
      <c r="A120" s="68" t="s">
        <v>221</v>
      </c>
      <c r="B120" s="68"/>
      <c r="C120" s="69" t="s">
        <v>202</v>
      </c>
      <c r="D120" s="70">
        <f>D31</f>
        <v>2575.36</v>
      </c>
    </row>
    <row r="121" ht="16.5" spans="1:4">
      <c r="A121" s="68"/>
      <c r="B121" s="68"/>
      <c r="C121" s="71" t="s">
        <v>211</v>
      </c>
      <c r="D121" s="70">
        <f>D72</f>
        <v>2061.82</v>
      </c>
    </row>
    <row r="122" ht="16.5" spans="1:4">
      <c r="A122" s="68"/>
      <c r="B122" s="68"/>
      <c r="C122" s="69" t="s">
        <v>212</v>
      </c>
      <c r="D122" s="70">
        <f>D82</f>
        <v>160.49</v>
      </c>
    </row>
    <row r="123" ht="16.5" spans="1:4">
      <c r="A123" s="68"/>
      <c r="B123" s="68"/>
      <c r="C123" s="71" t="s">
        <v>222</v>
      </c>
      <c r="D123" s="70">
        <f>D109</f>
        <v>127.04</v>
      </c>
    </row>
    <row r="124" ht="16.5" spans="1:4">
      <c r="A124" s="68"/>
      <c r="B124" s="68"/>
      <c r="C124" s="69" t="s">
        <v>223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5012.08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224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202.48</v>
      </c>
      <c r="F129" s="98" t="s">
        <v>225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182.5</v>
      </c>
      <c r="F130" s="99" t="s">
        <v>226</v>
      </c>
      <c r="G130" s="100">
        <f>TRUNC(SUM(D125,D129,D130),2)</f>
        <v>5397.06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511.04</v>
      </c>
      <c r="F131" s="98" t="s">
        <v>227</v>
      </c>
      <c r="G131" s="101">
        <f>(100-8.65)/100</f>
        <v>0.9135</v>
      </c>
    </row>
    <row r="132" ht="15.75" spans="1:7">
      <c r="A132" s="56"/>
      <c r="B132" t="s">
        <v>228</v>
      </c>
      <c r="C132" s="74">
        <v>0.0065</v>
      </c>
      <c r="D132" s="58">
        <f t="shared" ref="D132:D134" si="3">TRUNC(($G$132*C132),2)</f>
        <v>38.4</v>
      </c>
      <c r="F132" s="99" t="s">
        <v>224</v>
      </c>
      <c r="G132" s="100">
        <f>TRUNC((G130/G131),2)</f>
        <v>5908.11</v>
      </c>
    </row>
    <row r="133" ht="15.75" spans="1:4">
      <c r="A133" s="56"/>
      <c r="B133" t="s">
        <v>229</v>
      </c>
      <c r="C133" s="74">
        <v>0.03</v>
      </c>
      <c r="D133" s="58">
        <f t="shared" si="3"/>
        <v>177.24</v>
      </c>
    </row>
    <row r="134" spans="1:4">
      <c r="A134" s="56"/>
      <c r="B134" t="s">
        <v>230</v>
      </c>
      <c r="C134" s="74">
        <v>0.05</v>
      </c>
      <c r="D134" s="58">
        <f t="shared" si="3"/>
        <v>295.4</v>
      </c>
    </row>
    <row r="135" spans="1:4">
      <c r="A135" s="56" t="s">
        <v>58</v>
      </c>
      <c r="B135" s="102"/>
      <c r="C135" s="103"/>
      <c r="D135" s="64">
        <f>SUM(D129:D131)</f>
        <v>896.02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2575.36</v>
      </c>
    </row>
    <row r="141" spans="1:4">
      <c r="A141" s="56" t="s">
        <v>45</v>
      </c>
      <c r="B141" t="s">
        <v>61</v>
      </c>
      <c r="D141" s="64">
        <f>D72</f>
        <v>2061.82</v>
      </c>
    </row>
    <row r="142" spans="1:4">
      <c r="A142" s="56" t="s">
        <v>48</v>
      </c>
      <c r="B142" t="s">
        <v>108</v>
      </c>
      <c r="D142" s="64">
        <f>D82</f>
        <v>160.49</v>
      </c>
    </row>
    <row r="143" spans="1:4">
      <c r="A143" s="56" t="s">
        <v>50</v>
      </c>
      <c r="B143" t="s">
        <v>174</v>
      </c>
      <c r="D143" s="64">
        <f>D109</f>
        <v>127.04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5012.08</v>
      </c>
    </row>
    <row r="146" spans="1:4">
      <c r="A146" s="56" t="s">
        <v>55</v>
      </c>
      <c r="B146" t="s">
        <v>164</v>
      </c>
      <c r="D146" s="64">
        <f>D135</f>
        <v>896.02</v>
      </c>
    </row>
    <row r="147" spans="1:4">
      <c r="A147" s="105"/>
      <c r="B147" s="106" t="s">
        <v>231</v>
      </c>
      <c r="C147" s="105"/>
      <c r="D147" s="107">
        <f>TRUNC((SUM(D140:D144)+D146),2)</f>
        <v>5908.1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N7" sqref="N7"/>
    </sheetView>
  </sheetViews>
  <sheetFormatPr defaultColWidth="9.14285714285714" defaultRowHeight="15" outlineLevelCol="7"/>
  <cols>
    <col min="2" max="2" width="13.1619047619048" style="13" customWidth="1"/>
    <col min="3" max="3" width="39.3619047619048" customWidth="1"/>
    <col min="4" max="4" width="13.4571428571429" style="14" customWidth="1"/>
    <col min="5" max="5" width="9.71428571428571" customWidth="1"/>
    <col min="6" max="6" width="14.5619047619048" customWidth="1"/>
    <col min="7" max="7" width="14.0761904761905" customWidth="1"/>
    <col min="8" max="8" width="15.0571428571429" customWidth="1"/>
  </cols>
  <sheetData>
    <row r="2" spans="1:8">
      <c r="A2" s="15" t="s">
        <v>239</v>
      </c>
      <c r="B2" s="16"/>
      <c r="C2" s="15"/>
      <c r="D2" s="17"/>
      <c r="E2" s="15"/>
      <c r="F2" s="15"/>
      <c r="G2" s="15"/>
      <c r="H2" s="15"/>
    </row>
    <row r="3" spans="1:8">
      <c r="A3" s="18" t="s">
        <v>240</v>
      </c>
      <c r="B3" s="19"/>
      <c r="C3" s="18"/>
      <c r="D3" s="20"/>
      <c r="E3" s="18"/>
      <c r="F3" s="18"/>
      <c r="G3" s="18"/>
      <c r="H3" s="18"/>
    </row>
    <row r="4" ht="60" spans="1:8">
      <c r="A4" s="21" t="s">
        <v>241</v>
      </c>
      <c r="B4" s="21" t="s">
        <v>242</v>
      </c>
      <c r="C4" s="21" t="s">
        <v>243</v>
      </c>
      <c r="D4" s="21" t="s">
        <v>244</v>
      </c>
      <c r="E4" s="21" t="s">
        <v>245</v>
      </c>
      <c r="F4" s="21" t="s">
        <v>246</v>
      </c>
      <c r="G4" s="21" t="s">
        <v>247</v>
      </c>
      <c r="H4" s="21" t="s">
        <v>248</v>
      </c>
    </row>
    <row r="5" ht="30" spans="1:8">
      <c r="A5" s="22">
        <v>1</v>
      </c>
      <c r="B5" s="23" t="s">
        <v>249</v>
      </c>
      <c r="C5" s="24" t="s">
        <v>250</v>
      </c>
      <c r="D5" s="23" t="s">
        <v>251</v>
      </c>
      <c r="E5" s="25">
        <v>77.08</v>
      </c>
      <c r="F5" s="23">
        <v>4</v>
      </c>
      <c r="G5" s="26">
        <f t="shared" ref="G5:G11" si="0">TRUNC(F5*E5,2)</f>
        <v>308.32</v>
      </c>
      <c r="H5" s="26">
        <f>TRUNC(G5/12,2)</f>
        <v>25.69</v>
      </c>
    </row>
    <row r="6" ht="45" spans="1:8">
      <c r="A6" s="22">
        <v>2</v>
      </c>
      <c r="B6" s="23" t="s">
        <v>252</v>
      </c>
      <c r="C6" s="24" t="s">
        <v>253</v>
      </c>
      <c r="D6" s="23" t="s">
        <v>251</v>
      </c>
      <c r="E6" s="25">
        <v>81.95</v>
      </c>
      <c r="F6" s="23">
        <v>2</v>
      </c>
      <c r="G6" s="26">
        <f t="shared" si="0"/>
        <v>163.9</v>
      </c>
      <c r="H6" s="26">
        <f t="shared" ref="H6:H11" si="1">TRUNC(G6/12,2)</f>
        <v>13.65</v>
      </c>
    </row>
    <row r="7" ht="60" spans="1:8">
      <c r="A7" s="22">
        <v>3</v>
      </c>
      <c r="B7" s="23" t="s">
        <v>254</v>
      </c>
      <c r="C7" s="24" t="s">
        <v>255</v>
      </c>
      <c r="D7" s="23" t="s">
        <v>251</v>
      </c>
      <c r="E7" s="25">
        <v>57.86</v>
      </c>
      <c r="F7" s="23">
        <v>4</v>
      </c>
      <c r="G7" s="26">
        <f t="shared" si="0"/>
        <v>231.44</v>
      </c>
      <c r="H7" s="26">
        <f t="shared" si="1"/>
        <v>19.28</v>
      </c>
    </row>
    <row r="8" ht="60" spans="1:8">
      <c r="A8" s="22">
        <v>4</v>
      </c>
      <c r="B8" s="23" t="s">
        <v>254</v>
      </c>
      <c r="C8" s="24" t="s">
        <v>256</v>
      </c>
      <c r="D8" s="23" t="s">
        <v>251</v>
      </c>
      <c r="E8" s="25">
        <v>39.32</v>
      </c>
      <c r="F8" s="23">
        <v>4</v>
      </c>
      <c r="G8" s="26">
        <f t="shared" si="0"/>
        <v>157.28</v>
      </c>
      <c r="H8" s="26">
        <f t="shared" si="1"/>
        <v>13.1</v>
      </c>
    </row>
    <row r="9" ht="30" spans="1:8">
      <c r="A9" s="22">
        <v>5</v>
      </c>
      <c r="B9" s="23" t="s">
        <v>257</v>
      </c>
      <c r="C9" s="24" t="s">
        <v>258</v>
      </c>
      <c r="D9" s="23" t="s">
        <v>259</v>
      </c>
      <c r="E9" s="25">
        <v>62.96</v>
      </c>
      <c r="F9" s="23">
        <v>2</v>
      </c>
      <c r="G9" s="26">
        <f t="shared" si="0"/>
        <v>125.92</v>
      </c>
      <c r="H9" s="26">
        <f t="shared" si="1"/>
        <v>10.49</v>
      </c>
    </row>
    <row r="10" ht="45" spans="1:8">
      <c r="A10" s="22">
        <v>6</v>
      </c>
      <c r="B10" s="23" t="s">
        <v>260</v>
      </c>
      <c r="C10" s="24" t="s">
        <v>261</v>
      </c>
      <c r="D10" s="23" t="s">
        <v>259</v>
      </c>
      <c r="E10" s="25">
        <v>14.4</v>
      </c>
      <c r="F10" s="23">
        <v>4</v>
      </c>
      <c r="G10" s="26">
        <f t="shared" si="0"/>
        <v>57.6</v>
      </c>
      <c r="H10" s="26">
        <f t="shared" si="1"/>
        <v>4.8</v>
      </c>
    </row>
    <row r="11" ht="45" spans="1:8">
      <c r="A11" s="22">
        <v>7</v>
      </c>
      <c r="B11" s="23" t="s">
        <v>262</v>
      </c>
      <c r="C11" s="24" t="s">
        <v>263</v>
      </c>
      <c r="D11" s="23" t="s">
        <v>251</v>
      </c>
      <c r="E11" s="25">
        <v>4.36</v>
      </c>
      <c r="F11" s="23">
        <v>1</v>
      </c>
      <c r="G11" s="26">
        <f t="shared" si="0"/>
        <v>4.36</v>
      </c>
      <c r="H11" s="26">
        <f t="shared" si="1"/>
        <v>0.36</v>
      </c>
    </row>
    <row r="12" spans="1:8">
      <c r="A12" s="27" t="s">
        <v>204</v>
      </c>
      <c r="B12" s="27"/>
      <c r="C12" s="27"/>
      <c r="D12" s="27"/>
      <c r="E12" s="27"/>
      <c r="F12" s="27"/>
      <c r="G12" s="28">
        <f>TRUNC(SUM(H5:H11),2)</f>
        <v>87.37</v>
      </c>
      <c r="H12" s="28"/>
    </row>
    <row r="13" spans="1:8">
      <c r="A13" s="29"/>
      <c r="B13" s="30"/>
      <c r="C13" s="29"/>
      <c r="D13" s="31"/>
      <c r="E13" s="29"/>
      <c r="F13" s="29"/>
      <c r="G13" s="29"/>
      <c r="H13" s="29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workbookViewId="0">
      <selection activeCell="K11" sqref="K11"/>
    </sheetView>
  </sheetViews>
  <sheetFormatPr defaultColWidth="8.88571428571429" defaultRowHeight="15" outlineLevelCol="6"/>
  <cols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1" t="s">
        <v>264</v>
      </c>
      <c r="B1" s="2"/>
      <c r="C1" s="2"/>
      <c r="D1" s="2"/>
      <c r="E1" s="2"/>
      <c r="F1" s="2"/>
      <c r="G1" s="3"/>
    </row>
    <row r="2" ht="60.75" spans="1:7">
      <c r="A2" s="4" t="s">
        <v>16</v>
      </c>
      <c r="B2" s="4" t="s">
        <v>17</v>
      </c>
      <c r="C2" s="4" t="s">
        <v>251</v>
      </c>
      <c r="D2" s="4" t="s">
        <v>265</v>
      </c>
      <c r="E2" s="4" t="s">
        <v>266</v>
      </c>
      <c r="F2" s="4" t="s">
        <v>267</v>
      </c>
      <c r="G2" s="4" t="s">
        <v>268</v>
      </c>
    </row>
    <row r="3" ht="90" spans="1:7">
      <c r="A3" s="4">
        <v>33</v>
      </c>
      <c r="B3" s="5" t="s">
        <v>269</v>
      </c>
      <c r="C3" s="4" t="s">
        <v>270</v>
      </c>
      <c r="D3" s="4">
        <v>2</v>
      </c>
      <c r="E3" s="4">
        <v>12</v>
      </c>
      <c r="F3" s="6">
        <f>'Tradutor-Intérprete'!D147</f>
        <v>5908.1</v>
      </c>
      <c r="G3" s="7">
        <f>(D3*F3)*(E3)</f>
        <v>141794.4</v>
      </c>
    </row>
    <row r="4" ht="75" spans="1:7">
      <c r="A4" s="4">
        <v>34</v>
      </c>
      <c r="B4" s="5" t="s">
        <v>271</v>
      </c>
      <c r="C4" s="4" t="s">
        <v>270</v>
      </c>
      <c r="D4" s="4">
        <v>1</v>
      </c>
      <c r="E4" s="4">
        <v>12</v>
      </c>
      <c r="F4" s="6">
        <f>Cuidador!D147</f>
        <v>3978.65</v>
      </c>
      <c r="G4" s="7">
        <f>(D4*F4)*(E4)</f>
        <v>47743.8</v>
      </c>
    </row>
    <row r="5" ht="90" spans="1:7">
      <c r="A5" s="4">
        <v>35</v>
      </c>
      <c r="B5" s="5" t="s">
        <v>272</v>
      </c>
      <c r="C5" s="4" t="s">
        <v>270</v>
      </c>
      <c r="D5" s="4">
        <v>1</v>
      </c>
      <c r="E5" s="4">
        <v>12</v>
      </c>
      <c r="F5" s="6">
        <f>'Alfabetizador EJA'!D147</f>
        <v>5908.1</v>
      </c>
      <c r="G5" s="7">
        <f>(D5*F5)*(E5)</f>
        <v>70897.2</v>
      </c>
    </row>
    <row r="6" ht="90" spans="1:7">
      <c r="A6" s="8">
        <v>36</v>
      </c>
      <c r="B6" s="9" t="s">
        <v>273</v>
      </c>
      <c r="C6" s="4" t="s">
        <v>270</v>
      </c>
      <c r="D6" s="8">
        <v>1</v>
      </c>
      <c r="E6" s="8">
        <v>12</v>
      </c>
      <c r="F6" s="7">
        <f>Psicopedagogo!D147</f>
        <v>5908.1</v>
      </c>
      <c r="G6" s="7">
        <f>(D6*F6)*(E6)</f>
        <v>70897.2</v>
      </c>
    </row>
    <row r="7" spans="1:7">
      <c r="A7" s="10" t="s">
        <v>204</v>
      </c>
      <c r="B7" s="10"/>
      <c r="C7" s="10"/>
      <c r="D7" s="10"/>
      <c r="E7" s="10"/>
      <c r="F7" s="10"/>
      <c r="G7" s="11">
        <f>SUM(G3:G6)</f>
        <v>331332.6</v>
      </c>
    </row>
    <row r="8" spans="1:7">
      <c r="A8" s="12"/>
      <c r="B8" s="12"/>
      <c r="C8" s="12"/>
      <c r="D8" s="12"/>
      <c r="E8" s="12"/>
      <c r="F8" s="12"/>
      <c r="G8" s="12"/>
    </row>
    <row r="9" spans="1:7">
      <c r="A9" s="10"/>
      <c r="B9" s="10"/>
      <c r="C9" s="10"/>
      <c r="D9" s="10"/>
      <c r="E9" s="10"/>
      <c r="F9" s="10"/>
      <c r="G9" s="10"/>
    </row>
    <row r="10" spans="1:7">
      <c r="A10" s="10"/>
      <c r="B10" s="10"/>
      <c r="C10" s="10"/>
      <c r="D10" s="10"/>
      <c r="E10" s="10"/>
      <c r="F10" s="10"/>
      <c r="G10" s="10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Orientações</vt:lpstr>
      <vt:lpstr>Servente</vt:lpstr>
      <vt:lpstr>Tradutor-Intérprete</vt:lpstr>
      <vt:lpstr>Cuidador</vt:lpstr>
      <vt:lpstr>Alfabetizador EJA</vt:lpstr>
      <vt:lpstr>Psicopedagogo</vt:lpstr>
      <vt:lpstr>Uniformes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IFPB</cp:lastModifiedBy>
  <cp:revision>3</cp:revision>
  <dcterms:created xsi:type="dcterms:W3CDTF">2019-02-19T21:25:00Z</dcterms:created>
  <cp:lastPrinted>2020-02-20T19:26:00Z</cp:lastPrinted>
  <dcterms:modified xsi:type="dcterms:W3CDTF">2021-09-29T16:26:40Z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1046-11.2.0.10323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